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ngnfs01v\183500建築指導課$\審査担当\999個人フォルダ\06柳澤\"/>
    </mc:Choice>
  </mc:AlternateContent>
  <xr:revisionPtr revIDLastSave="0" documentId="13_ncr:1_{B60CCF57-8B4B-4863-B979-202D62DE5E24}" xr6:coauthVersionLast="47" xr6:coauthVersionMax="47" xr10:uidLastSave="{00000000-0000-0000-0000-000000000000}"/>
  <workbookProtection workbookAlgorithmName="SHA-512" workbookHashValue="bJmvKigvaaBkK6K7OOol/myiuBQ6BuLJ/86SuWIJGsZJfD+m7U40xMKc97TCIUSLYW5x5OpVPzczqFvaVm6Z7g==" workbookSaltValue="5xS70x/MucdLqIVyhKiUlA==" workbookSpinCount="100000" lockStructure="1"/>
  <bookViews>
    <workbookView xWindow="-120" yWindow="-120" windowWidth="29040" windowHeight="15720" xr2:uid="{1CFF825B-5A25-49A4-AB00-776C48D45117}"/>
  </bookViews>
  <sheets>
    <sheet name="算定シート" sheetId="6648" r:id="rId1"/>
    <sheet name="計算シート（非表示）" sheetId="6656" state="hidden" r:id="rId2"/>
  </sheets>
  <definedNames>
    <definedName name="_xlnm.Print_Area" localSheetId="0">算定シート!$A$1:$U$18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6648" l="1"/>
  <c r="P16" i="6648" l="1"/>
  <c r="K11" i="6656" s="1"/>
  <c r="K8" i="6656"/>
  <c r="AW23" i="6656"/>
  <c r="AT23" i="6656" s="1"/>
  <c r="AQ23" i="6656" s="1"/>
  <c r="AZ15" i="6656"/>
  <c r="AW15" i="6656" s="1"/>
  <c r="AT15" i="6656" s="1"/>
  <c r="AQ15" i="6656" s="1"/>
  <c r="K3" i="6656"/>
  <c r="AD14" i="6656"/>
  <c r="K14" i="6656"/>
  <c r="D32" i="6656" s="1"/>
  <c r="K9" i="6656"/>
  <c r="K10" i="6656"/>
  <c r="AD22" i="6656" s="1"/>
  <c r="K7" i="6656"/>
  <c r="AD20" i="6656" s="1"/>
  <c r="K5" i="6656"/>
  <c r="AD18" i="6656" s="1"/>
  <c r="AW25" i="6656" l="1"/>
  <c r="B24" i="6656"/>
  <c r="K19" i="6656"/>
  <c r="AT25" i="6656"/>
  <c r="K17" i="6656"/>
  <c r="AD38" i="6656" l="1"/>
  <c r="AJ36" i="6656"/>
  <c r="AD37" i="6656"/>
  <c r="AD26" i="6656" s="1"/>
  <c r="AD36" i="6656"/>
  <c r="AQ25" i="6656"/>
  <c r="AQ26" i="6656" s="1"/>
  <c r="O10" i="6656" s="1"/>
  <c r="K25" i="6656"/>
  <c r="Q25" i="6656"/>
  <c r="AD24" i="6656" l="1"/>
  <c r="R10" i="6656"/>
  <c r="AH22" i="6656"/>
  <c r="X22" i="6656"/>
  <c r="AD16" i="6656"/>
  <c r="K27" i="6656"/>
  <c r="AD31" i="6656" l="1"/>
  <c r="AD28" i="6656"/>
  <c r="AZ17" i="6656"/>
  <c r="AW17" i="6656"/>
  <c r="AT17" i="6656" l="1"/>
  <c r="AQ17" i="6656" l="1"/>
  <c r="AQ18" i="6656" s="1"/>
  <c r="K6" i="6656" l="1"/>
  <c r="AD19" i="6656" l="1"/>
  <c r="AD25" i="6656" s="1"/>
  <c r="R6" i="6656"/>
  <c r="K4" i="6656"/>
  <c r="AD21" i="6656" s="1"/>
  <c r="AD27" i="6656" s="1"/>
  <c r="X19" i="6656"/>
  <c r="AD15" i="6656" l="1"/>
  <c r="K15" i="6656"/>
  <c r="K26" i="6656" s="1"/>
  <c r="AD23" i="6656"/>
  <c r="K18" i="6656"/>
  <c r="K23" i="6656" l="1"/>
  <c r="K21" i="6656"/>
  <c r="K22" i="6656"/>
  <c r="AD17" i="6656"/>
  <c r="AD30" i="6656"/>
  <c r="K16" i="6656"/>
  <c r="K20" i="6656"/>
  <c r="O21" i="6656" l="1"/>
  <c r="K24" i="6656"/>
  <c r="AD32" i="6656"/>
  <c r="AD29" i="6656"/>
  <c r="K33" i="6656" l="1"/>
  <c r="Q5" i="6648"/>
  <c r="K36" i="6656" l="1"/>
  <c r="M5" i="6648" s="1"/>
  <c r="K34" i="6656" l="1"/>
  <c r="I5" i="6648" s="1"/>
  <c r="K35" i="6656" l="1"/>
  <c r="E5" i="664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西山　建吾</author>
  </authors>
  <commentList>
    <comment ref="E4" authorId="0" shapeId="0" xr:uid="{08419C2F-91C1-41F9-936A-5C9052E2BE41}">
      <text>
        <r>
          <rPr>
            <b/>
            <sz val="9"/>
            <color indexed="81"/>
            <rFont val="HG丸ｺﾞｼｯｸM-PRO"/>
            <family val="3"/>
            <charset val="128"/>
          </rPr>
          <t>条例第6条１項</t>
        </r>
        <r>
          <rPr>
            <sz val="9"/>
            <color indexed="81"/>
            <rFont val="HG丸ｺﾞｼｯｸM-PRO"/>
            <family val="3"/>
            <charset val="128"/>
          </rPr>
          <t xml:space="preserve">
W3.5ｍ×D6.0ｍ×H2.3ｍ</t>
        </r>
      </text>
    </comment>
    <comment ref="I4" authorId="0" shapeId="0" xr:uid="{7C5732C8-C2F9-46F9-BB48-AB976A58DC91}">
      <text>
        <r>
          <rPr>
            <b/>
            <sz val="9"/>
            <color indexed="81"/>
            <rFont val="HG丸ｺﾞｼｯｸM-PRO"/>
            <family val="3"/>
            <charset val="128"/>
          </rPr>
          <t>条例第６条２項
W2.5ｍ×D6.0ｍ</t>
        </r>
      </text>
    </comment>
    <comment ref="M4" authorId="0" shapeId="0" xr:uid="{5B90C5B4-2622-44F1-A697-3BC6AF744D75}">
      <text>
        <r>
          <rPr>
            <b/>
            <sz val="9"/>
            <color indexed="81"/>
            <rFont val="HG丸ｺﾞｼｯｸM-PRO"/>
            <family val="3"/>
            <charset val="128"/>
          </rPr>
          <t xml:space="preserve">車椅子用の駐車区画
</t>
        </r>
        <r>
          <rPr>
            <sz val="9"/>
            <color indexed="81"/>
            <rFont val="HG丸ｺﾞｼｯｸM-PRO"/>
            <family val="3"/>
            <charset val="128"/>
          </rPr>
          <t>W3.5ｍ×D6.0ｍ×H2.3ｍ</t>
        </r>
      </text>
    </comment>
    <comment ref="Q4" authorId="0" shapeId="0" xr:uid="{A816E54A-8146-4224-A89E-C685C16EE662}">
      <text>
        <r>
          <rPr>
            <b/>
            <sz val="9"/>
            <color indexed="81"/>
            <rFont val="HG丸ｺﾞｼｯｸM-PRO"/>
            <family val="3"/>
            <charset val="128"/>
          </rPr>
          <t>荷さばき用の駐車区画</t>
        </r>
        <r>
          <rPr>
            <sz val="9"/>
            <color indexed="81"/>
            <rFont val="HG丸ｺﾞｼｯｸM-PRO"/>
            <family val="3"/>
            <charset val="128"/>
          </rPr>
          <t xml:space="preserve">
W3.0ｍ×D7.7ｍ×H3.2ｍ
※共同住宅の駐車区画の内40％分は
W2.5ｍ×D6.0ｍ×H3.2ｍとすることが可能</t>
        </r>
      </text>
    </comment>
    <comment ref="B5" authorId="0" shapeId="0" xr:uid="{0A5F26FA-2EF4-4017-A9DB-DE3DCA81A685}">
      <text>
        <r>
          <rPr>
            <b/>
            <sz val="9"/>
            <color indexed="81"/>
            <rFont val="HG丸ｺﾞｼｯｸM-PRO"/>
            <family val="3"/>
            <charset val="128"/>
          </rPr>
          <t>下記の入力欄に必要な数値を入力してください（自動計算）</t>
        </r>
      </text>
    </comment>
    <comment ref="E8" authorId="0" shapeId="0" xr:uid="{5A6C3991-83F2-4D88-AFA3-BEA31B419A7D}">
      <text>
        <r>
          <rPr>
            <b/>
            <sz val="9"/>
            <color indexed="81"/>
            <rFont val="HG丸ｺﾞｼｯｸM-PRO"/>
            <family val="3"/>
            <charset val="128"/>
          </rPr>
          <t>複数の地域・地区にわたる場合は最も大きな面積となるものを選択
※駐車場整備地区の該当有無は都市計画課(026-224-5050)へお問合せ</t>
        </r>
      </text>
    </comment>
    <comment ref="E9" authorId="0" shapeId="0" xr:uid="{3C766B00-50B8-467D-93FE-3B093911F5BD}">
      <text>
        <r>
          <rPr>
            <b/>
            <sz val="9"/>
            <color indexed="81"/>
            <rFont val="HG丸ｺﾞｼｯｸM-PRO"/>
            <family val="3"/>
            <charset val="128"/>
          </rPr>
          <t>建築基準法上の延床面積</t>
        </r>
      </text>
    </comment>
    <comment ref="E10" authorId="0" shapeId="0" xr:uid="{193CC180-9E25-4F8D-BB4E-2625AB197C5F}">
      <text>
        <r>
          <rPr>
            <b/>
            <sz val="9"/>
            <color indexed="81"/>
            <rFont val="HG丸ｺﾞｼｯｸM-PRO"/>
            <family val="3"/>
            <charset val="128"/>
          </rPr>
          <t>特定用途に供する部分の床面積：建築基準法上の各部分の合計
特定用途：駐車場法施行令第18条に規定するもの
劇場、映画館、演芸場、観覧場、放送用スタジオ、公会堂、集会場、展示場、結婚式場、斎場、旅館、ホテル、
料理店、飲食店、待合、キャバレー、カフェー、ナイトクラブ、バー、舞踏場、遊技場、ボーリング場、体育館、
百貨店その他の店舗、事務所、病院、卸売市場、倉庫、工場及び共同住宅</t>
        </r>
      </text>
    </comment>
    <comment ref="E13" authorId="0" shapeId="0" xr:uid="{7B0B1091-40D6-4CCD-BBA9-D4C2082665C0}">
      <text>
        <r>
          <rPr>
            <b/>
            <sz val="9"/>
            <color indexed="81"/>
            <rFont val="HG丸ｺﾞｼｯｸM-PRO"/>
            <family val="3"/>
            <charset val="128"/>
          </rPr>
          <t>駐車施設の用途に供する部分：建築基準法の延床面積の内、駐車場の用途として利用する部分
（例）ピロティー・ビルトインカーポートなど</t>
        </r>
      </text>
    </comment>
    <comment ref="E14" authorId="0" shapeId="0" xr:uid="{A4EA206F-ED59-4711-972E-DE6F166F5F43}">
      <text>
        <r>
          <rPr>
            <b/>
            <sz val="9"/>
            <color indexed="81"/>
            <rFont val="HG丸ｺﾞｼｯｸM-PRO"/>
            <family val="3"/>
            <charset val="128"/>
          </rPr>
          <t>全体の延床面積の内、共同住宅の用途に供する部分の床面積</t>
        </r>
      </text>
    </comment>
    <comment ref="E16" authorId="0" shapeId="0" xr:uid="{AC1DD5BF-318B-4705-B536-99A55D26FF15}">
      <text>
        <r>
          <rPr>
            <b/>
            <sz val="9"/>
            <color indexed="81"/>
            <rFont val="HG丸ｺﾞｼｯｸM-PRO"/>
            <family val="3"/>
            <charset val="128"/>
          </rPr>
          <t>非特定用途：延床面積-特定用途に供する部分</t>
        </r>
      </text>
    </comment>
  </commentList>
</comments>
</file>

<file path=xl/sharedStrings.xml><?xml version="1.0" encoding="utf-8"?>
<sst xmlns="http://schemas.openxmlformats.org/spreadsheetml/2006/main" count="170" uniqueCount="119">
  <si>
    <t>区分</t>
  </si>
  <si>
    <t>規模</t>
  </si>
  <si>
    <t>倉庫</t>
    <rPh sb="0" eb="2">
      <t>ソウコ</t>
    </rPh>
    <phoneticPr fontId="1"/>
  </si>
  <si>
    <t>㎡</t>
    <phoneticPr fontId="1"/>
  </si>
  <si>
    <t>台</t>
    <rPh sb="0" eb="1">
      <t>ダイ</t>
    </rPh>
    <phoneticPr fontId="1"/>
  </si>
  <si>
    <t>共同住宅</t>
    <rPh sb="0" eb="2">
      <t>キョウドウ</t>
    </rPh>
    <rPh sb="2" eb="4">
      <t>ジュウタク</t>
    </rPh>
    <phoneticPr fontId="1"/>
  </si>
  <si>
    <t>A</t>
    <phoneticPr fontId="1"/>
  </si>
  <si>
    <t>B</t>
    <phoneticPr fontId="1"/>
  </si>
  <si>
    <t>C</t>
    <phoneticPr fontId="1"/>
  </si>
  <si>
    <t>㎡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</si>
  <si>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</si>
  <si>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</si>
  <si>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</si>
  <si>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</si>
  <si>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事務所</t>
    <rPh sb="0" eb="2">
      <t>ジム</t>
    </rPh>
    <rPh sb="2" eb="3">
      <t>ショ</t>
    </rPh>
    <phoneticPr fontId="1"/>
  </si>
  <si>
    <t>倉庫</t>
    <rPh sb="0" eb="2">
      <t>ソウコ</t>
    </rPh>
    <phoneticPr fontId="1"/>
  </si>
  <si>
    <t>その他特定用途</t>
    <rPh sb="2" eb="3">
      <t>タ</t>
    </rPh>
    <rPh sb="3" eb="5">
      <t>トクテイ</t>
    </rPh>
    <rPh sb="5" eb="7">
      <t>ヨウト</t>
    </rPh>
    <phoneticPr fontId="1"/>
  </si>
  <si>
    <t>戸</t>
    <rPh sb="0" eb="1">
      <t>ト</t>
    </rPh>
    <phoneticPr fontId="1"/>
  </si>
  <si>
    <t>百貨店、その他店舗</t>
    <rPh sb="0" eb="3">
      <t>ヒャッカテン</t>
    </rPh>
    <rPh sb="6" eb="7">
      <t>タ</t>
    </rPh>
    <rPh sb="7" eb="9">
      <t>テンポ</t>
    </rPh>
    <phoneticPr fontId="1"/>
  </si>
  <si>
    <t>非特定用途</t>
    <rPh sb="0" eb="1">
      <t>ヒ</t>
    </rPh>
    <rPh sb="1" eb="3">
      <t>トクテイ</t>
    </rPh>
    <rPh sb="3" eb="5">
      <t>ヨウト</t>
    </rPh>
    <phoneticPr fontId="1"/>
  </si>
  <si>
    <t>駐車施設の用途に供する部分</t>
    <phoneticPr fontId="1"/>
  </si>
  <si>
    <t>駐車施設の用途に供する部分</t>
    <rPh sb="0" eb="2">
      <t>チュウシャ</t>
    </rPh>
    <rPh sb="2" eb="4">
      <t>シセツ</t>
    </rPh>
    <rPh sb="5" eb="7">
      <t>ヨウト</t>
    </rPh>
    <rPh sb="8" eb="9">
      <t>キョウ</t>
    </rPh>
    <rPh sb="11" eb="13">
      <t>ブブン</t>
    </rPh>
    <phoneticPr fontId="1"/>
  </si>
  <si>
    <t>共同住宅の用途に供する部分　　</t>
    <phoneticPr fontId="1"/>
  </si>
  <si>
    <t>共同住宅の戸数</t>
    <rPh sb="5" eb="7">
      <t>コスウ</t>
    </rPh>
    <phoneticPr fontId="1"/>
  </si>
  <si>
    <t>特定用途の内</t>
    <rPh sb="0" eb="2">
      <t>トクテイ</t>
    </rPh>
    <rPh sb="2" eb="4">
      <t>ヨウト</t>
    </rPh>
    <rPh sb="5" eb="6">
      <t>ウチ</t>
    </rPh>
    <phoneticPr fontId="1"/>
  </si>
  <si>
    <t>各用途に供する部分の床面積</t>
    <phoneticPr fontId="1"/>
  </si>
  <si>
    <t>延床面積</t>
    <rPh sb="0" eb="2">
      <t>ノベユカ</t>
    </rPh>
    <rPh sb="2" eb="4">
      <t>メンセキ</t>
    </rPh>
    <phoneticPr fontId="1"/>
  </si>
  <si>
    <t>条例第３条（ア）の区分</t>
    <phoneticPr fontId="1"/>
  </si>
  <si>
    <t>特定用途の面積</t>
    <rPh sb="0" eb="2">
      <t>トクテイ</t>
    </rPh>
    <rPh sb="2" eb="4">
      <t>ヨウト</t>
    </rPh>
    <rPh sb="5" eb="7">
      <t>メンセキ</t>
    </rPh>
    <phoneticPr fontId="1"/>
  </si>
  <si>
    <t>条例第３条（イ）の面積</t>
    <rPh sb="9" eb="11">
      <t>メンセキ</t>
    </rPh>
    <phoneticPr fontId="1"/>
  </si>
  <si>
    <t>条例３条（ウ）の判定</t>
    <rPh sb="0" eb="2">
      <t>ジョウレイ</t>
    </rPh>
    <rPh sb="3" eb="4">
      <t>ジョウ</t>
    </rPh>
    <rPh sb="8" eb="10">
      <t>ハンテイ</t>
    </rPh>
    <phoneticPr fontId="1"/>
  </si>
  <si>
    <t>条例３条（エ）の床面積</t>
    <rPh sb="0" eb="2">
      <t>ジョウレイ</t>
    </rPh>
    <rPh sb="3" eb="4">
      <t>ジョウ</t>
    </rPh>
    <rPh sb="8" eb="11">
      <t>ユカメンセキ</t>
    </rPh>
    <phoneticPr fontId="1"/>
  </si>
  <si>
    <t>共住+非特定</t>
    <rPh sb="0" eb="2">
      <t>キョウジュウ</t>
    </rPh>
    <rPh sb="1" eb="2">
      <t>ジュウ</t>
    </rPh>
    <rPh sb="3" eb="4">
      <t>ヒ</t>
    </rPh>
    <rPh sb="4" eb="6">
      <t>トクテイ</t>
    </rPh>
    <phoneticPr fontId="1"/>
  </si>
  <si>
    <t>百貨店・その他店舗</t>
    <rPh sb="0" eb="3">
      <t>ヒャッカテン</t>
    </rPh>
    <rPh sb="6" eb="7">
      <t>タ</t>
    </rPh>
    <rPh sb="7" eb="9">
      <t>テンポ</t>
    </rPh>
    <phoneticPr fontId="1"/>
  </si>
  <si>
    <t>特定用途（百貨等・共同住除く）</t>
    <rPh sb="0" eb="2">
      <t>トクテイ</t>
    </rPh>
    <rPh sb="2" eb="4">
      <t>ヨウト</t>
    </rPh>
    <rPh sb="5" eb="6">
      <t>ヒャク</t>
    </rPh>
    <rPh sb="7" eb="8">
      <t>トウ</t>
    </rPh>
    <rPh sb="9" eb="11">
      <t>キョウドウ</t>
    </rPh>
    <rPh sb="11" eb="12">
      <t>ジュウ</t>
    </rPh>
    <rPh sb="12" eb="13">
      <t>ノゾ</t>
    </rPh>
    <phoneticPr fontId="1"/>
  </si>
  <si>
    <t>周辺地区の場合</t>
    <rPh sb="0" eb="2">
      <t>シュウヘン</t>
    </rPh>
    <rPh sb="2" eb="4">
      <t>チク</t>
    </rPh>
    <rPh sb="5" eb="7">
      <t>バアイ</t>
    </rPh>
    <phoneticPr fontId="1"/>
  </si>
  <si>
    <t>条例３条（エ）を（オ）で除した値</t>
    <rPh sb="0" eb="2">
      <t>ジョウレイ</t>
    </rPh>
    <rPh sb="3" eb="4">
      <t>ジョウ</t>
    </rPh>
    <rPh sb="12" eb="13">
      <t>ジョ</t>
    </rPh>
    <rPh sb="15" eb="16">
      <t>アタイ</t>
    </rPh>
    <phoneticPr fontId="1"/>
  </si>
  <si>
    <t>百貨店・その他店舗</t>
    <phoneticPr fontId="1"/>
  </si>
  <si>
    <t>特定用途（百貨等・共同住除く）</t>
    <phoneticPr fontId="1"/>
  </si>
  <si>
    <t>共住+非特定</t>
    <phoneticPr fontId="1"/>
  </si>
  <si>
    <t>周辺地区の場合</t>
    <phoneticPr fontId="1"/>
  </si>
  <si>
    <t>㎡</t>
    <phoneticPr fontId="1"/>
  </si>
  <si>
    <t>台</t>
    <rPh sb="0" eb="1">
      <t>ダイ</t>
    </rPh>
    <phoneticPr fontId="1"/>
  </si>
  <si>
    <t>条例第３条の２（ア）の区分</t>
    <phoneticPr fontId="1"/>
  </si>
  <si>
    <t>全て</t>
    <rPh sb="0" eb="1">
      <t>スベ</t>
    </rPh>
    <phoneticPr fontId="1"/>
  </si>
  <si>
    <t>条例第３条の２（イ）の床面積</t>
    <rPh sb="11" eb="14">
      <t>ユカメンセキ</t>
    </rPh>
    <phoneticPr fontId="1"/>
  </si>
  <si>
    <t>条例第３条の３（イ）の戸数</t>
    <rPh sb="11" eb="13">
      <t>コスウ</t>
    </rPh>
    <phoneticPr fontId="1"/>
  </si>
  <si>
    <t>非特定用途に供する部分の床面積</t>
    <rPh sb="12" eb="15">
      <t>ユカメンセキ</t>
    </rPh>
    <phoneticPr fontId="1"/>
  </si>
  <si>
    <t>戸</t>
    <rPh sb="0" eb="1">
      <t>コ</t>
    </rPh>
    <phoneticPr fontId="1"/>
  </si>
  <si>
    <t>戸</t>
    <rPh sb="0" eb="1">
      <t>コ</t>
    </rPh>
    <phoneticPr fontId="1"/>
  </si>
  <si>
    <t>条例３条の２（ウ）を（エ）で除した値</t>
    <phoneticPr fontId="1"/>
  </si>
  <si>
    <t>0～400</t>
    <phoneticPr fontId="1"/>
  </si>
  <si>
    <t>401～800</t>
    <phoneticPr fontId="1"/>
  </si>
  <si>
    <t>801～</t>
    <phoneticPr fontId="1"/>
  </si>
  <si>
    <t>戸数</t>
    <rPh sb="0" eb="2">
      <t>コスウ</t>
    </rPh>
    <phoneticPr fontId="1"/>
  </si>
  <si>
    <t>割合</t>
    <rPh sb="0" eb="2">
      <t>ワリアイ</t>
    </rPh>
    <phoneticPr fontId="1"/>
  </si>
  <si>
    <t>みなし戸数</t>
    <rPh sb="3" eb="5">
      <t>コスウ</t>
    </rPh>
    <phoneticPr fontId="1"/>
  </si>
  <si>
    <t>みなし合計戸数</t>
    <rPh sb="3" eb="5">
      <t>ゴウケイ</t>
    </rPh>
    <rPh sb="5" eb="7">
      <t>コスウ</t>
    </rPh>
    <phoneticPr fontId="1"/>
  </si>
  <si>
    <r>
      <t>第３条の４による荷捌き用</t>
    </r>
    <r>
      <rPr>
        <b/>
        <sz val="11"/>
        <color rgb="FFFF0000"/>
        <rFont val="ＭＳ Ｐゴシック"/>
        <family val="3"/>
        <charset val="128"/>
      </rPr>
      <t>【共同住宅特例】</t>
    </r>
    <phoneticPr fontId="1"/>
  </si>
  <si>
    <t>0～10,000</t>
    <phoneticPr fontId="1"/>
  </si>
  <si>
    <t>10,001～50,000</t>
    <phoneticPr fontId="1"/>
  </si>
  <si>
    <t>50,001～100,000</t>
    <phoneticPr fontId="1"/>
  </si>
  <si>
    <t>100,000～</t>
    <phoneticPr fontId="1"/>
  </si>
  <si>
    <t>面積</t>
    <rPh sb="0" eb="2">
      <t>メンセキ</t>
    </rPh>
    <phoneticPr fontId="1"/>
  </si>
  <si>
    <t>区分割合</t>
    <rPh sb="0" eb="2">
      <t>クブン</t>
    </rPh>
    <rPh sb="2" eb="4">
      <t>ワリアイ</t>
    </rPh>
    <phoneticPr fontId="1"/>
  </si>
  <si>
    <t>みなし合計面積</t>
    <rPh sb="3" eb="5">
      <t>ゴウケイ</t>
    </rPh>
    <rPh sb="5" eb="7">
      <t>メンセキ</t>
    </rPh>
    <phoneticPr fontId="1"/>
  </si>
  <si>
    <t>みなし面積</t>
    <rPh sb="3" eb="5">
      <t>メンセキ</t>
    </rPh>
    <phoneticPr fontId="1"/>
  </si>
  <si>
    <t>地域・地区</t>
    <rPh sb="0" eb="2">
      <t>チイキ</t>
    </rPh>
    <rPh sb="3" eb="5">
      <t>チク</t>
    </rPh>
    <phoneticPr fontId="1"/>
  </si>
  <si>
    <t>条件</t>
    <rPh sb="0" eb="2">
      <t>ジョウケン</t>
    </rPh>
    <phoneticPr fontId="1"/>
  </si>
  <si>
    <t>（建基法上）</t>
    <rPh sb="1" eb="4">
      <t>ケンキホウ</t>
    </rPh>
    <rPh sb="4" eb="5">
      <t>ジョウ</t>
    </rPh>
    <phoneticPr fontId="1"/>
  </si>
  <si>
    <t>台</t>
    <rPh sb="0" eb="1">
      <t>ダイ</t>
    </rPh>
    <phoneticPr fontId="1"/>
  </si>
  <si>
    <t>特定用途（百貨等・事務所・倉庫・共同住除く）</t>
    <rPh sb="0" eb="2">
      <t>トクテイ</t>
    </rPh>
    <rPh sb="2" eb="4">
      <t>ヨウト</t>
    </rPh>
    <rPh sb="5" eb="7">
      <t>ヒャッカ</t>
    </rPh>
    <rPh sb="7" eb="8">
      <t>トウ</t>
    </rPh>
    <rPh sb="9" eb="11">
      <t>ジム</t>
    </rPh>
    <rPh sb="11" eb="12">
      <t>ショ</t>
    </rPh>
    <rPh sb="13" eb="15">
      <t>ソウコ</t>
    </rPh>
    <rPh sb="16" eb="18">
      <t>キョウドウ</t>
    </rPh>
    <rPh sb="18" eb="19">
      <t>ジュウ</t>
    </rPh>
    <rPh sb="19" eb="20">
      <t>ノゾ</t>
    </rPh>
    <phoneticPr fontId="1"/>
  </si>
  <si>
    <t>条例３条の２
（ウ）の床面積等</t>
    <rPh sb="0" eb="2">
      <t>ジョウレイ</t>
    </rPh>
    <rPh sb="3" eb="4">
      <t>ジョウ</t>
    </rPh>
    <rPh sb="11" eb="14">
      <t>ユカメンセキ</t>
    </rPh>
    <rPh sb="14" eb="15">
      <t>トウ</t>
    </rPh>
    <phoneticPr fontId="1"/>
  </si>
  <si>
    <t>㎡</t>
    <phoneticPr fontId="1"/>
  </si>
  <si>
    <t>特定用途（共同住宅除く）</t>
    <rPh sb="0" eb="2">
      <t>トクテイ</t>
    </rPh>
    <rPh sb="2" eb="4">
      <t>ヨウト</t>
    </rPh>
    <rPh sb="5" eb="7">
      <t>キョウドウ</t>
    </rPh>
    <rPh sb="7" eb="9">
      <t>ジュウタク</t>
    </rPh>
    <rPh sb="9" eb="10">
      <t>ノゾ</t>
    </rPh>
    <phoneticPr fontId="1"/>
  </si>
  <si>
    <t>➀百貨店・その他の店舗</t>
    <rPh sb="1" eb="4">
      <t>ヒャッカテン</t>
    </rPh>
    <rPh sb="7" eb="8">
      <t>タ</t>
    </rPh>
    <rPh sb="9" eb="11">
      <t>テンポ</t>
    </rPh>
    <phoneticPr fontId="1"/>
  </si>
  <si>
    <t>②事務所</t>
    <rPh sb="1" eb="3">
      <t>ジム</t>
    </rPh>
    <rPh sb="3" eb="4">
      <t>ショ</t>
    </rPh>
    <phoneticPr fontId="1"/>
  </si>
  <si>
    <t>③倉庫</t>
    <rPh sb="1" eb="3">
      <t>ソウコ</t>
    </rPh>
    <phoneticPr fontId="1"/>
  </si>
  <si>
    <t>※条例の計算上の数値</t>
    <rPh sb="1" eb="3">
      <t>ジョウレイ</t>
    </rPh>
    <rPh sb="4" eb="6">
      <t>ケイサン</t>
    </rPh>
    <rPh sb="6" eb="7">
      <t>ジョウ</t>
    </rPh>
    <rPh sb="8" eb="10">
      <t>スウチ</t>
    </rPh>
    <phoneticPr fontId="1"/>
  </si>
  <si>
    <t>条例３条の２（イ）の判定</t>
    <phoneticPr fontId="1"/>
  </si>
  <si>
    <t>荷さばき用</t>
    <rPh sb="0" eb="1">
      <t>ニ</t>
    </rPh>
    <rPh sb="4" eb="5">
      <t>ヨウ</t>
    </rPh>
    <phoneticPr fontId="1"/>
  </si>
  <si>
    <t>車椅子用</t>
    <rPh sb="0" eb="3">
      <t>クルマイス</t>
    </rPh>
    <rPh sb="3" eb="4">
      <t>ヨウ</t>
    </rPh>
    <phoneticPr fontId="1"/>
  </si>
  <si>
    <r>
      <t>第３条の２による</t>
    </r>
    <r>
      <rPr>
        <b/>
        <sz val="11"/>
        <color rgb="FFFF0000"/>
        <rFont val="ＭＳ Ｐゴシック"/>
        <family val="3"/>
        <charset val="128"/>
      </rPr>
      <t>【荷捌き用】</t>
    </r>
    <r>
      <rPr>
        <sz val="11"/>
        <rFont val="ＭＳ Ｐゴシック"/>
        <family val="3"/>
        <charset val="128"/>
      </rPr>
      <t>の必要設置台数</t>
    </r>
    <rPh sb="0" eb="1">
      <t>ダイ</t>
    </rPh>
    <rPh sb="2" eb="3">
      <t>ジョウ</t>
    </rPh>
    <rPh sb="9" eb="11">
      <t>ニサバ</t>
    </rPh>
    <rPh sb="12" eb="13">
      <t>ヨウ</t>
    </rPh>
    <rPh sb="15" eb="17">
      <t>ヒツヨウ</t>
    </rPh>
    <rPh sb="17" eb="19">
      <t>セッチ</t>
    </rPh>
    <rPh sb="19" eb="21">
      <t>ダイスウ</t>
    </rPh>
    <phoneticPr fontId="1"/>
  </si>
  <si>
    <r>
      <t>第３条による</t>
    </r>
    <r>
      <rPr>
        <b/>
        <sz val="11"/>
        <color rgb="FFFF0000"/>
        <rFont val="ＭＳ Ｐゴシック"/>
        <family val="3"/>
        <charset val="128"/>
      </rPr>
      <t>【必要設置台数】</t>
    </r>
    <rPh sb="0" eb="1">
      <t>ダイ</t>
    </rPh>
    <rPh sb="2" eb="3">
      <t>ジョウ</t>
    </rPh>
    <rPh sb="7" eb="9">
      <t>ヒツヨウ</t>
    </rPh>
    <rPh sb="9" eb="11">
      <t>セッチ</t>
    </rPh>
    <rPh sb="11" eb="13">
      <t>ダイスウ</t>
    </rPh>
    <phoneticPr fontId="1"/>
  </si>
  <si>
    <r>
      <t>第３条の３による</t>
    </r>
    <r>
      <rPr>
        <b/>
        <sz val="11"/>
        <color rgb="FFFF0000"/>
        <rFont val="ＭＳ Ｐゴシック"/>
        <family val="3"/>
        <charset val="128"/>
      </rPr>
      <t>【大規模事務所の特例】</t>
    </r>
    <rPh sb="9" eb="12">
      <t>ダイキボ</t>
    </rPh>
    <rPh sb="12" eb="14">
      <t>ジム</t>
    </rPh>
    <rPh sb="14" eb="15">
      <t>ショ</t>
    </rPh>
    <rPh sb="16" eb="18">
      <t>トクレイ</t>
    </rPh>
    <phoneticPr fontId="1"/>
  </si>
  <si>
    <t>必要台数</t>
    <rPh sb="0" eb="2">
      <t>ヒツヨウ</t>
    </rPh>
    <rPh sb="2" eb="4">
      <t>ダイスウ</t>
    </rPh>
    <phoneticPr fontId="1"/>
  </si>
  <si>
    <t>①②③以外の特定用途</t>
    <rPh sb="3" eb="5">
      <t>イガイ</t>
    </rPh>
    <rPh sb="6" eb="8">
      <t>トクテイ</t>
    </rPh>
    <rPh sb="8" eb="10">
      <t>ヨウト</t>
    </rPh>
    <phoneticPr fontId="1"/>
  </si>
  <si>
    <t>小型車用</t>
    <rPh sb="0" eb="3">
      <t>コガタシャ</t>
    </rPh>
    <rPh sb="3" eb="4">
      <t>ヨウ</t>
    </rPh>
    <phoneticPr fontId="1"/>
  </si>
  <si>
    <t>普通車用</t>
    <rPh sb="0" eb="3">
      <t>フツウシャ</t>
    </rPh>
    <rPh sb="3" eb="4">
      <t>ヨウ</t>
    </rPh>
    <phoneticPr fontId="1"/>
  </si>
  <si>
    <t>建物の内、特定用途に供する部分の床面積</t>
    <rPh sb="0" eb="2">
      <t>タテモノ</t>
    </rPh>
    <rPh sb="3" eb="4">
      <t>ウチ</t>
    </rPh>
    <rPh sb="16" eb="19">
      <t>ユカメンセキ</t>
    </rPh>
    <phoneticPr fontId="1"/>
  </si>
  <si>
    <t>駐車施設の附置等に関する条例算定シート</t>
    <rPh sb="0" eb="2">
      <t>チュウシャ</t>
    </rPh>
    <rPh sb="2" eb="4">
      <t>シセツ</t>
    </rPh>
    <rPh sb="5" eb="7">
      <t>フチ</t>
    </rPh>
    <rPh sb="7" eb="8">
      <t>トウ</t>
    </rPh>
    <rPh sb="9" eb="10">
      <t>カン</t>
    </rPh>
    <rPh sb="12" eb="14">
      <t>ジョウレイ</t>
    </rPh>
    <rPh sb="14" eb="16">
      <t>サンテイ</t>
    </rPh>
    <phoneticPr fontId="1"/>
  </si>
  <si>
    <t>▼必要台数</t>
    <rPh sb="1" eb="3">
      <t>ヒツヨウ</t>
    </rPh>
    <rPh sb="3" eb="5">
      <t>ダイスウ</t>
    </rPh>
    <phoneticPr fontId="1"/>
  </si>
  <si>
    <t>▼入力欄（長野市駐車施設附置等（変更）届と合わせてください）</t>
    <rPh sb="1" eb="3">
      <t>ニュウリョク</t>
    </rPh>
    <rPh sb="3" eb="4">
      <t>ラン</t>
    </rPh>
    <rPh sb="5" eb="8">
      <t>ナガノシ</t>
    </rPh>
    <rPh sb="8" eb="10">
      <t>チュウシャ</t>
    </rPh>
    <rPh sb="10" eb="12">
      <t>シセツ</t>
    </rPh>
    <rPh sb="12" eb="14">
      <t>フチ</t>
    </rPh>
    <rPh sb="14" eb="15">
      <t>トウ</t>
    </rPh>
    <rPh sb="16" eb="18">
      <t>ヘンコウ</t>
    </rPh>
    <rPh sb="19" eb="20">
      <t>トドケ</t>
    </rPh>
    <rPh sb="21" eb="22">
      <t>ア</t>
    </rPh>
    <phoneticPr fontId="1"/>
  </si>
  <si>
    <t>※このシートを用いて必要台数を算出した場合は本シートを届出に添付してください</t>
    <rPh sb="7" eb="8">
      <t>モチ</t>
    </rPh>
    <rPh sb="10" eb="12">
      <t>ヒツヨウ</t>
    </rPh>
    <rPh sb="12" eb="14">
      <t>ダイスウ</t>
    </rPh>
    <rPh sb="15" eb="17">
      <t>サンシュツ</t>
    </rPh>
    <rPh sb="19" eb="21">
      <t>バアイ</t>
    </rPh>
    <rPh sb="22" eb="23">
      <t>ホン</t>
    </rPh>
    <rPh sb="27" eb="29">
      <t>トドケデ</t>
    </rPh>
    <rPh sb="30" eb="32">
      <t>テンプ</t>
    </rPh>
    <phoneticPr fontId="1"/>
  </si>
  <si>
    <t>台</t>
    <rPh sb="0" eb="1">
      <t>ダイ</t>
    </rPh>
    <phoneticPr fontId="1"/>
  </si>
  <si>
    <t>附置義務台数</t>
    <rPh sb="0" eb="2">
      <t>フチ</t>
    </rPh>
    <rPh sb="2" eb="4">
      <t>ギム</t>
    </rPh>
    <rPh sb="4" eb="6">
      <t>ダイスウ</t>
    </rPh>
    <phoneticPr fontId="1"/>
  </si>
  <si>
    <t>第６条２項</t>
    <rPh sb="0" eb="1">
      <t>ダイ</t>
    </rPh>
    <rPh sb="2" eb="3">
      <t>ジョウ</t>
    </rPh>
    <rPh sb="4" eb="5">
      <t>コウ</t>
    </rPh>
    <phoneticPr fontId="1"/>
  </si>
  <si>
    <t>小型車（附置義務台数-普通車の台数）</t>
    <rPh sb="0" eb="2">
      <t>コガタ</t>
    </rPh>
    <rPh sb="2" eb="3">
      <t>シャ</t>
    </rPh>
    <rPh sb="4" eb="6">
      <t>フチ</t>
    </rPh>
    <rPh sb="6" eb="8">
      <t>ギム</t>
    </rPh>
    <rPh sb="8" eb="10">
      <t>ダイスウ</t>
    </rPh>
    <rPh sb="11" eb="14">
      <t>フツウシャ</t>
    </rPh>
    <rPh sb="15" eb="17">
      <t>ダイスウ</t>
    </rPh>
    <phoneticPr fontId="1"/>
  </si>
  <si>
    <t>百貨店・その他店舗</t>
    <phoneticPr fontId="1"/>
  </si>
  <si>
    <t>事務所</t>
    <phoneticPr fontId="1"/>
  </si>
  <si>
    <t>倉庫</t>
    <phoneticPr fontId="1"/>
  </si>
  <si>
    <t>特定用途（百貨等・共同住除く）</t>
    <phoneticPr fontId="1"/>
  </si>
  <si>
    <t>共同住宅</t>
    <phoneticPr fontId="1"/>
  </si>
  <si>
    <t>整備地区等</t>
    <phoneticPr fontId="1"/>
  </si>
  <si>
    <t>合計</t>
    <rPh sb="0" eb="2">
      <t>ゴウケイ</t>
    </rPh>
    <phoneticPr fontId="1"/>
  </si>
  <si>
    <t>特定用途（共同住除く）</t>
    <phoneticPr fontId="1"/>
  </si>
  <si>
    <t>周辺地区</t>
    <rPh sb="0" eb="2">
      <t>シュウヘン</t>
    </rPh>
    <rPh sb="2" eb="4">
      <t>チク</t>
    </rPh>
    <phoneticPr fontId="1"/>
  </si>
  <si>
    <t>整備地区等</t>
    <rPh sb="0" eb="2">
      <t>セイビ</t>
    </rPh>
    <rPh sb="2" eb="4">
      <t>チク</t>
    </rPh>
    <rPh sb="4" eb="5">
      <t>トウ</t>
    </rPh>
    <phoneticPr fontId="1"/>
  </si>
  <si>
    <t>条例３条（カ）に規定する延べ面積：A</t>
    <phoneticPr fontId="1"/>
  </si>
  <si>
    <t>上記面積＜6000の場合の（カ）の係数</t>
    <phoneticPr fontId="1"/>
  </si>
  <si>
    <t>周辺地区</t>
    <phoneticPr fontId="1"/>
  </si>
  <si>
    <t>普通車の台数（附置義務の30％切り上げ）-車椅子</t>
    <rPh sb="0" eb="3">
      <t>フツウシャ</t>
    </rPh>
    <rPh sb="4" eb="6">
      <t>ダイスウ</t>
    </rPh>
    <rPh sb="7" eb="9">
      <t>フチ</t>
    </rPh>
    <rPh sb="9" eb="11">
      <t>ギム</t>
    </rPh>
    <rPh sb="15" eb="16">
      <t>キ</t>
    </rPh>
    <rPh sb="17" eb="18">
      <t>ア</t>
    </rPh>
    <rPh sb="21" eb="24">
      <t>クルマイス</t>
    </rPh>
    <phoneticPr fontId="1"/>
  </si>
  <si>
    <t>車椅子設置台数</t>
    <rPh sb="0" eb="3">
      <t>クルマイス</t>
    </rPh>
    <rPh sb="3" eb="5">
      <t>セッチ</t>
    </rPh>
    <rPh sb="5" eb="7">
      <t>ダイスウ</t>
    </rPh>
    <phoneticPr fontId="1"/>
  </si>
  <si>
    <t>条例３の２条（オ）に規定する延べ面積</t>
    <phoneticPr fontId="1"/>
  </si>
  <si>
    <t>上記面積＜6000の場合の（カ）の係数</t>
    <phoneticPr fontId="1"/>
  </si>
  <si>
    <t>整備地区等</t>
    <phoneticPr fontId="1"/>
  </si>
  <si>
    <t>周辺地区</t>
    <phoneticPr fontId="1"/>
  </si>
  <si>
    <t>R8.4.1条例改定対応</t>
    <rPh sb="6" eb="8">
      <t>ジョウレイ</t>
    </rPh>
    <rPh sb="8" eb="10">
      <t>カイテイ</t>
    </rPh>
    <rPh sb="10" eb="12">
      <t>タイオウ</t>
    </rPh>
    <phoneticPr fontId="1"/>
  </si>
  <si>
    <t>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</si>
</sst>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HG丸ｺﾞｼｯｸM-PRO"/>
      <family val="3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3" borderId="4" xfId="0" applyNumberFormat="1" applyFill="1" applyBorder="1" applyAlignment="1">
      <alignment vertical="center"/>
    </xf>
    <xf numFmtId="0" fontId="0" fillId="3" borderId="3" xfId="0" applyNumberFormat="1" applyFill="1" applyBorder="1" applyAlignment="1">
      <alignment vertical="center"/>
    </xf>
    <xf numFmtId="0" fontId="0" fillId="3" borderId="1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5" xfId="0" applyNumberFormat="1" applyFill="1" applyBorder="1" applyAlignment="1">
      <alignment vertical="center"/>
    </xf>
    <xf numFmtId="0" fontId="0" fillId="0" borderId="52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3" borderId="52" xfId="0" applyNumberFormat="1" applyFill="1" applyBorder="1" applyAlignment="1">
      <alignment vertical="center"/>
    </xf>
    <xf numFmtId="0" fontId="0" fillId="3" borderId="9" xfId="0" applyNumberForma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9" xfId="0" applyFill="1" applyBorder="1" applyAlignment="1">
      <alignment horizontal="left" vertical="center"/>
    </xf>
    <xf numFmtId="0" fontId="0" fillId="3" borderId="59" xfId="0" applyFill="1" applyBorder="1" applyAlignment="1">
      <alignment horizontal="left" vertical="center"/>
    </xf>
    <xf numFmtId="0" fontId="0" fillId="0" borderId="62" xfId="0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0" fillId="3" borderId="24" xfId="0" applyNumberFormat="1" applyFill="1" applyBorder="1" applyAlignment="1">
      <alignment vertical="center"/>
    </xf>
    <xf numFmtId="0" fontId="0" fillId="3" borderId="30" xfId="0" applyNumberFormat="1" applyFill="1" applyBorder="1" applyAlignment="1">
      <alignment vertical="center"/>
    </xf>
    <xf numFmtId="0" fontId="0" fillId="3" borderId="10" xfId="0" applyNumberFormat="1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vertical="center" wrapText="1"/>
      <protection hidden="1"/>
    </xf>
    <xf numFmtId="0" fontId="2" fillId="0" borderId="17" xfId="0" applyFont="1" applyFill="1" applyBorder="1" applyAlignment="1" applyProtection="1">
      <alignment horizontal="left" vertical="center" wrapText="1"/>
      <protection hidden="1"/>
    </xf>
    <xf numFmtId="0" fontId="3" fillId="0" borderId="24" xfId="0" applyFont="1" applyBorder="1" applyAlignment="1" applyProtection="1">
      <alignment vertical="center" wrapText="1"/>
      <protection hidden="1"/>
    </xf>
    <xf numFmtId="0" fontId="2" fillId="0" borderId="17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vertical="center" wrapText="1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4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25" xfId="0" applyFont="1" applyBorder="1" applyAlignment="1" applyProtection="1">
      <alignment vertical="center" wrapText="1"/>
      <protection hidden="1"/>
    </xf>
    <xf numFmtId="0" fontId="2" fillId="0" borderId="25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 wrapText="1"/>
      <protection hidden="1"/>
    </xf>
    <xf numFmtId="0" fontId="3" fillId="0" borderId="52" xfId="0" applyFont="1" applyBorder="1" applyAlignment="1" applyProtection="1">
      <alignment horizontal="center" vertical="center" wrapText="1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right" vertical="center"/>
      <protection hidden="1"/>
    </xf>
    <xf numFmtId="0" fontId="2" fillId="0" borderId="15" xfId="0" applyFont="1" applyBorder="1" applyAlignment="1" applyProtection="1">
      <alignment horizontal="left" vertical="center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45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38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textRotation="255" wrapText="1"/>
      <protection hidden="1"/>
    </xf>
    <xf numFmtId="0" fontId="3" fillId="0" borderId="21" xfId="0" applyFont="1" applyBorder="1" applyAlignment="1" applyProtection="1">
      <alignment horizontal="center" vertical="center" textRotation="255" wrapText="1"/>
      <protection hidden="1"/>
    </xf>
    <xf numFmtId="0" fontId="3" fillId="0" borderId="22" xfId="0" applyFont="1" applyBorder="1" applyAlignment="1" applyProtection="1">
      <alignment horizontal="center" vertical="center" textRotation="255" wrapText="1"/>
      <protection hidden="1"/>
    </xf>
    <xf numFmtId="0" fontId="3" fillId="0" borderId="12" xfId="0" applyFont="1" applyFill="1" applyBorder="1" applyAlignment="1" applyProtection="1">
      <alignment horizontal="center" vertical="center" wrapText="1"/>
      <protection hidden="1"/>
    </xf>
    <xf numFmtId="0" fontId="3" fillId="0" borderId="16" xfId="0" applyFont="1" applyFill="1" applyBorder="1" applyAlignment="1" applyProtection="1">
      <alignment horizontal="center" vertical="center" wrapText="1"/>
      <protection hidden="1"/>
    </xf>
    <xf numFmtId="0" fontId="3" fillId="0" borderId="38" xfId="0" applyFont="1" applyFill="1" applyBorder="1" applyAlignment="1" applyProtection="1">
      <alignment horizontal="center" vertical="center" wrapText="1"/>
      <protection hidden="1"/>
    </xf>
    <xf numFmtId="177" fontId="10" fillId="2" borderId="7" xfId="0" applyNumberFormat="1" applyFont="1" applyFill="1" applyBorder="1" applyAlignment="1" applyProtection="1">
      <alignment horizontal="center" vertical="center" wrapText="1"/>
      <protection hidden="1"/>
    </xf>
    <xf numFmtId="177" fontId="10" fillId="2" borderId="8" xfId="0" applyNumberFormat="1" applyFont="1" applyFill="1" applyBorder="1" applyAlignment="1" applyProtection="1">
      <alignment horizontal="center" vertical="center" wrapText="1"/>
      <protection hidden="1"/>
    </xf>
    <xf numFmtId="177" fontId="10" fillId="2" borderId="1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shrinkToFit="1"/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176" fontId="11" fillId="2" borderId="37" xfId="0" applyNumberFormat="1" applyFont="1" applyFill="1" applyBorder="1" applyAlignment="1" applyProtection="1">
      <alignment horizontal="center" vertical="center"/>
      <protection hidden="1"/>
    </xf>
    <xf numFmtId="176" fontId="11" fillId="2" borderId="16" xfId="0" applyNumberFormat="1" applyFont="1" applyFill="1" applyBorder="1" applyAlignment="1" applyProtection="1">
      <alignment horizontal="center" vertical="center"/>
      <protection hidden="1"/>
    </xf>
    <xf numFmtId="177" fontId="11" fillId="2" borderId="37" xfId="0" applyNumberFormat="1" applyFont="1" applyFill="1" applyBorder="1" applyAlignment="1" applyProtection="1">
      <alignment horizontal="center" vertical="center"/>
      <protection hidden="1"/>
    </xf>
    <xf numFmtId="177" fontId="11" fillId="2" borderId="16" xfId="0" applyNumberFormat="1" applyFont="1" applyFill="1" applyBorder="1" applyAlignment="1" applyProtection="1">
      <alignment horizontal="center" vertical="center"/>
      <protection hidden="1"/>
    </xf>
    <xf numFmtId="177" fontId="2" fillId="0" borderId="41" xfId="0" applyNumberFormat="1" applyFont="1" applyFill="1" applyBorder="1" applyAlignment="1" applyProtection="1">
      <alignment horizontal="center" vertical="center"/>
      <protection hidden="1"/>
    </xf>
    <xf numFmtId="177" fontId="2" fillId="0" borderId="13" xfId="0" applyNumberFormat="1" applyFont="1" applyFill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 shrinkToFit="1"/>
      <protection hidden="1"/>
    </xf>
    <xf numFmtId="177" fontId="2" fillId="0" borderId="18" xfId="0" applyNumberFormat="1" applyFont="1" applyFill="1" applyBorder="1" applyAlignment="1" applyProtection="1">
      <alignment horizontal="center" vertical="center"/>
      <protection hidden="1"/>
    </xf>
    <xf numFmtId="177" fontId="2" fillId="0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0" fillId="3" borderId="39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48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3" borderId="19" xfId="0" applyNumberFormat="1" applyFill="1" applyBorder="1" applyAlignment="1">
      <alignment horizontal="right" vertical="center"/>
    </xf>
    <xf numFmtId="0" fontId="0" fillId="3" borderId="8" xfId="0" applyNumberFormat="1" applyFill="1" applyBorder="1" applyAlignment="1">
      <alignment horizontal="right" vertical="center"/>
    </xf>
    <xf numFmtId="0" fontId="0" fillId="3" borderId="37" xfId="0" applyNumberFormat="1" applyFill="1" applyBorder="1" applyAlignment="1">
      <alignment horizontal="center" vertical="center"/>
    </xf>
    <xf numFmtId="0" fontId="0" fillId="3" borderId="16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29" xfId="0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0" fillId="0" borderId="39" xfId="0" applyBorder="1" applyAlignment="1">
      <alignment horizontal="center" vertical="center" shrinkToFit="1"/>
    </xf>
    <xf numFmtId="0" fontId="6" fillId="3" borderId="47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 wrapText="1"/>
    </xf>
    <xf numFmtId="3" fontId="0" fillId="0" borderId="32" xfId="0" applyNumberFormat="1" applyBorder="1" applyAlignment="1">
      <alignment horizontal="center" vertical="center" wrapText="1"/>
    </xf>
    <xf numFmtId="3" fontId="0" fillId="0" borderId="34" xfId="0" applyNumberForma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23" xfId="0" applyNumberFormat="1" applyFill="1" applyBorder="1" applyAlignment="1">
      <alignment horizontal="left" vertical="center"/>
    </xf>
    <xf numFmtId="0" fontId="0" fillId="3" borderId="24" xfId="0" applyNumberFormat="1" applyFill="1" applyBorder="1" applyAlignment="1">
      <alignment horizontal="left" vertical="center"/>
    </xf>
    <xf numFmtId="0" fontId="0" fillId="3" borderId="30" xfId="0" applyNumberFormat="1" applyFill="1" applyBorder="1" applyAlignment="1">
      <alignment horizontal="left" vertical="center"/>
    </xf>
    <xf numFmtId="0" fontId="0" fillId="0" borderId="35" xfId="0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shrinkToFit="1"/>
    </xf>
    <xf numFmtId="0" fontId="0" fillId="3" borderId="39" xfId="0" applyFill="1" applyBorder="1" applyAlignment="1">
      <alignment horizontal="center" vertical="center" shrinkToFit="1"/>
    </xf>
    <xf numFmtId="0" fontId="0" fillId="3" borderId="29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0" borderId="62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3" borderId="61" xfId="0" applyNumberFormat="1" applyFill="1" applyBorder="1" applyAlignment="1">
      <alignment horizontal="center" vertical="center"/>
    </xf>
    <xf numFmtId="0" fontId="0" fillId="3" borderId="62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44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55" xfId="0" applyNumberFormat="1" applyFill="1" applyBorder="1" applyAlignment="1">
      <alignment horizontal="right" vertical="center"/>
    </xf>
    <xf numFmtId="0" fontId="0" fillId="3" borderId="15" xfId="0" applyNumberFormat="1" applyFill="1" applyBorder="1" applyAlignment="1">
      <alignment horizontal="right" vertical="center"/>
    </xf>
    <xf numFmtId="0" fontId="0" fillId="3" borderId="54" xfId="0" applyNumberFormat="1" applyFill="1" applyBorder="1" applyAlignment="1">
      <alignment horizontal="right" vertical="center"/>
    </xf>
    <xf numFmtId="0" fontId="0" fillId="3" borderId="0" xfId="0" applyNumberFormat="1" applyFill="1" applyBorder="1" applyAlignment="1">
      <alignment horizontal="right" vertical="center"/>
    </xf>
    <xf numFmtId="0" fontId="0" fillId="3" borderId="56" xfId="0" applyNumberFormat="1" applyFill="1" applyBorder="1" applyAlignment="1">
      <alignment horizontal="right" vertical="center"/>
    </xf>
    <xf numFmtId="0" fontId="0" fillId="3" borderId="40" xfId="0" applyNumberForma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32" xfId="0" applyBorder="1" applyAlignment="1">
      <alignment horizontal="center" vertical="center" shrinkToFit="1"/>
    </xf>
    <xf numFmtId="0" fontId="0" fillId="3" borderId="33" xfId="0" applyFill="1" applyBorder="1" applyAlignment="1">
      <alignment horizontal="center" vertical="center" shrinkToFit="1"/>
    </xf>
    <xf numFmtId="0" fontId="0" fillId="3" borderId="51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3" fontId="0" fillId="3" borderId="39" xfId="0" applyNumberForma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3" borderId="51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3" borderId="19" xfId="0" applyNumberFormat="1" applyFill="1" applyBorder="1" applyAlignment="1">
      <alignment horizontal="center" vertical="center"/>
    </xf>
    <xf numFmtId="0" fontId="0" fillId="3" borderId="8" xfId="0" applyNumberFormat="1" applyFill="1" applyBorder="1" applyAlignment="1">
      <alignment horizontal="center" vertical="center"/>
    </xf>
    <xf numFmtId="0" fontId="0" fillId="3" borderId="56" xfId="0" applyNumberFormat="1" applyFill="1" applyBorder="1" applyAlignment="1">
      <alignment horizontal="center" vertical="center"/>
    </xf>
    <xf numFmtId="0" fontId="0" fillId="3" borderId="40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62F9F-4734-4AE0-8020-4431EC27BF20}">
  <sheetPr codeName="Sheet18"/>
  <dimension ref="B1:AE17"/>
  <sheetViews>
    <sheetView tabSelected="1" view="pageBreakPreview" zoomScale="115" zoomScaleNormal="100" zoomScaleSheetLayoutView="115" workbookViewId="0">
      <selection activeCell="E8" sqref="E8:T8"/>
    </sheetView>
  </sheetViews>
  <sheetFormatPr defaultColWidth="2.5" defaultRowHeight="18.75" customHeight="1" x14ac:dyDescent="0.15"/>
  <cols>
    <col min="1" max="20" width="4.125" style="60" customWidth="1"/>
    <col min="21" max="25" width="3.625" style="60" customWidth="1"/>
    <col min="26" max="16384" width="2.5" style="60"/>
  </cols>
  <sheetData>
    <row r="1" spans="2:31" s="44" customFormat="1" ht="25.5" customHeight="1" x14ac:dyDescent="0.15">
      <c r="B1" s="74" t="s">
        <v>90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2:31" s="44" customFormat="1" ht="25.5" customHeight="1" x14ac:dyDescent="0.15">
      <c r="P2" s="83" t="s">
        <v>117</v>
      </c>
      <c r="Q2" s="83"/>
      <c r="R2" s="83"/>
      <c r="S2" s="83"/>
      <c r="T2" s="83"/>
    </row>
    <row r="3" spans="2:31" s="44" customFormat="1" ht="25.5" customHeight="1" thickBot="1" x14ac:dyDescent="0.2">
      <c r="B3" s="75" t="s">
        <v>91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2:31" s="44" customFormat="1" ht="25.5" customHeight="1" x14ac:dyDescent="0.15">
      <c r="B4" s="66" t="s">
        <v>0</v>
      </c>
      <c r="C4" s="67"/>
      <c r="D4" s="68"/>
      <c r="E4" s="71" t="s">
        <v>87</v>
      </c>
      <c r="F4" s="72"/>
      <c r="G4" s="72"/>
      <c r="H4" s="73"/>
      <c r="I4" s="79" t="s">
        <v>88</v>
      </c>
      <c r="J4" s="67"/>
      <c r="K4" s="67"/>
      <c r="L4" s="80"/>
      <c r="M4" s="79" t="s">
        <v>81</v>
      </c>
      <c r="N4" s="67"/>
      <c r="O4" s="67"/>
      <c r="P4" s="80"/>
      <c r="Q4" s="81" t="s">
        <v>80</v>
      </c>
      <c r="R4" s="72"/>
      <c r="S4" s="72"/>
      <c r="T4" s="82"/>
    </row>
    <row r="5" spans="2:31" s="44" customFormat="1" ht="25.5" customHeight="1" thickBot="1" x14ac:dyDescent="0.2">
      <c r="B5" s="63" t="s">
        <v>85</v>
      </c>
      <c r="C5" s="64"/>
      <c r="D5" s="65"/>
      <c r="E5" s="69">
        <f>'計算シート（非表示）'!K35-Q5</f>
        <v>0</v>
      </c>
      <c r="F5" s="70"/>
      <c r="G5" s="70"/>
      <c r="H5" s="45" t="s">
        <v>4</v>
      </c>
      <c r="I5" s="76">
        <f>'計算シート（非表示）'!K34</f>
        <v>0</v>
      </c>
      <c r="J5" s="64"/>
      <c r="K5" s="64"/>
      <c r="L5" s="46" t="s">
        <v>4</v>
      </c>
      <c r="M5" s="76">
        <f>'計算シート（非表示）'!K36</f>
        <v>0</v>
      </c>
      <c r="N5" s="64"/>
      <c r="O5" s="64"/>
      <c r="P5" s="46" t="s">
        <v>4</v>
      </c>
      <c r="Q5" s="77">
        <f>IF('計算シート（非表示）'!AD14="整備地区等",'計算シート（非表示）'!AD29,'計算シート（非表示）'!AD32)</f>
        <v>0</v>
      </c>
      <c r="R5" s="78"/>
      <c r="S5" s="78"/>
      <c r="T5" s="47" t="s">
        <v>4</v>
      </c>
    </row>
    <row r="6" spans="2:31" s="44" customFormat="1" ht="25.5" customHeight="1" x14ac:dyDescent="0.15">
      <c r="B6" s="48"/>
      <c r="C6" s="48"/>
      <c r="D6" s="48"/>
      <c r="E6" s="49"/>
      <c r="F6" s="49"/>
      <c r="G6" s="49"/>
      <c r="H6" s="50"/>
      <c r="I6" s="48"/>
      <c r="J6" s="48"/>
      <c r="K6" s="48"/>
      <c r="L6" s="51"/>
      <c r="M6" s="48"/>
      <c r="N6" s="48"/>
      <c r="O6" s="48"/>
      <c r="P6" s="51"/>
      <c r="Q6" s="52"/>
      <c r="R6" s="52"/>
      <c r="S6" s="52"/>
      <c r="T6" s="50"/>
    </row>
    <row r="7" spans="2:31" s="44" customFormat="1" ht="25.5" customHeight="1" thickBot="1" x14ac:dyDescent="0.2">
      <c r="B7" s="75" t="s">
        <v>92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2:31" s="44" customFormat="1" ht="25.5" customHeight="1" thickBot="1" x14ac:dyDescent="0.2">
      <c r="B8" s="91" t="s">
        <v>67</v>
      </c>
      <c r="C8" s="92"/>
      <c r="D8" s="114"/>
      <c r="E8" s="115" t="s">
        <v>118</v>
      </c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7"/>
    </row>
    <row r="9" spans="2:31" s="44" customFormat="1" ht="25.5" customHeight="1" thickBot="1" x14ac:dyDescent="0.2">
      <c r="B9" s="85" t="s">
        <v>1</v>
      </c>
      <c r="C9" s="86"/>
      <c r="D9" s="53"/>
      <c r="E9" s="97" t="s">
        <v>26</v>
      </c>
      <c r="F9" s="98"/>
      <c r="G9" s="98"/>
      <c r="H9" s="98"/>
      <c r="I9" s="98"/>
      <c r="J9" s="98"/>
      <c r="K9" s="98"/>
      <c r="L9" s="98"/>
      <c r="M9" s="98"/>
      <c r="N9" s="98"/>
      <c r="O9" s="99"/>
      <c r="P9" s="107"/>
      <c r="Q9" s="108"/>
      <c r="R9" s="108"/>
      <c r="S9" s="108"/>
      <c r="T9" s="54" t="s">
        <v>3</v>
      </c>
    </row>
    <row r="10" spans="2:31" s="44" customFormat="1" ht="25.5" customHeight="1" thickBot="1" x14ac:dyDescent="0.2">
      <c r="B10" s="87"/>
      <c r="C10" s="88"/>
      <c r="D10" s="55"/>
      <c r="E10" s="91" t="s">
        <v>89</v>
      </c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107"/>
      <c r="Q10" s="108"/>
      <c r="R10" s="108"/>
      <c r="S10" s="108"/>
      <c r="T10" s="56" t="s">
        <v>3</v>
      </c>
    </row>
    <row r="11" spans="2:31" s="44" customFormat="1" ht="25.5" customHeight="1" x14ac:dyDescent="0.15">
      <c r="B11" s="87"/>
      <c r="C11" s="88"/>
      <c r="D11" s="94" t="s">
        <v>24</v>
      </c>
      <c r="E11" s="103" t="s">
        <v>75</v>
      </c>
      <c r="F11" s="104"/>
      <c r="G11" s="104"/>
      <c r="H11" s="104"/>
      <c r="I11" s="104" t="s">
        <v>76</v>
      </c>
      <c r="J11" s="104"/>
      <c r="K11" s="104"/>
      <c r="L11" s="104"/>
      <c r="M11" s="104" t="s">
        <v>77</v>
      </c>
      <c r="N11" s="104"/>
      <c r="O11" s="104"/>
      <c r="P11" s="104"/>
      <c r="Q11" s="104" t="s">
        <v>86</v>
      </c>
      <c r="R11" s="104"/>
      <c r="S11" s="104"/>
      <c r="T11" s="111"/>
    </row>
    <row r="12" spans="2:31" s="44" customFormat="1" ht="25.5" customHeight="1" thickBot="1" x14ac:dyDescent="0.2">
      <c r="B12" s="87"/>
      <c r="C12" s="88"/>
      <c r="D12" s="95"/>
      <c r="E12" s="100"/>
      <c r="F12" s="101"/>
      <c r="G12" s="101"/>
      <c r="H12" s="57" t="s">
        <v>3</v>
      </c>
      <c r="I12" s="101"/>
      <c r="J12" s="101"/>
      <c r="K12" s="101"/>
      <c r="L12" s="57" t="s">
        <v>3</v>
      </c>
      <c r="M12" s="102"/>
      <c r="N12" s="101"/>
      <c r="O12" s="101"/>
      <c r="P12" s="57" t="s">
        <v>3</v>
      </c>
      <c r="Q12" s="112">
        <f>P10-E12-I12-M12</f>
        <v>0</v>
      </c>
      <c r="R12" s="113"/>
      <c r="S12" s="113"/>
      <c r="T12" s="58" t="s">
        <v>3</v>
      </c>
    </row>
    <row r="13" spans="2:31" s="44" customFormat="1" ht="25.5" customHeight="1" thickBot="1" x14ac:dyDescent="0.2">
      <c r="B13" s="87"/>
      <c r="C13" s="88"/>
      <c r="D13" s="95"/>
      <c r="E13" s="91" t="s">
        <v>20</v>
      </c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07"/>
      <c r="Q13" s="108"/>
      <c r="R13" s="108"/>
      <c r="S13" s="108"/>
      <c r="T13" s="56" t="s">
        <v>3</v>
      </c>
    </row>
    <row r="14" spans="2:31" s="44" customFormat="1" ht="25.5" customHeight="1" thickBot="1" x14ac:dyDescent="0.2">
      <c r="B14" s="87"/>
      <c r="C14" s="88"/>
      <c r="D14" s="95"/>
      <c r="E14" s="91" t="s">
        <v>22</v>
      </c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07"/>
      <c r="Q14" s="108"/>
      <c r="R14" s="108"/>
      <c r="S14" s="108"/>
      <c r="T14" s="56" t="s">
        <v>3</v>
      </c>
      <c r="AE14" s="59"/>
    </row>
    <row r="15" spans="2:31" ht="26.25" customHeight="1" thickBot="1" x14ac:dyDescent="0.2">
      <c r="B15" s="87"/>
      <c r="C15" s="88"/>
      <c r="D15" s="96"/>
      <c r="E15" s="91" t="s">
        <v>23</v>
      </c>
      <c r="F15" s="92"/>
      <c r="G15" s="92"/>
      <c r="H15" s="92"/>
      <c r="I15" s="92"/>
      <c r="J15" s="92"/>
      <c r="K15" s="92"/>
      <c r="L15" s="92"/>
      <c r="M15" s="92"/>
      <c r="N15" s="92"/>
      <c r="O15" s="93"/>
      <c r="P15" s="105"/>
      <c r="Q15" s="106"/>
      <c r="R15" s="106"/>
      <c r="S15" s="106"/>
      <c r="T15" s="56" t="s">
        <v>17</v>
      </c>
    </row>
    <row r="16" spans="2:31" ht="26.25" customHeight="1" thickBot="1" x14ac:dyDescent="0.2">
      <c r="B16" s="89"/>
      <c r="C16" s="90"/>
      <c r="D16" s="61"/>
      <c r="E16" s="89" t="s">
        <v>47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109" t="str">
        <f>IF(P9="","",IF(P9-P10&lt;0,"エラー",P9-P10))</f>
        <v/>
      </c>
      <c r="Q16" s="110"/>
      <c r="R16" s="110"/>
      <c r="S16" s="110"/>
      <c r="T16" s="62" t="s">
        <v>3</v>
      </c>
    </row>
    <row r="17" spans="2:20" ht="18.75" customHeight="1" x14ac:dyDescent="0.15">
      <c r="B17" s="84" t="s">
        <v>93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</sheetData>
  <sheetProtection algorithmName="SHA-512" hashValue="QbD894rMBPHSK3C5l6kWEtyzPRkHZCqBmgtOEFnZDO4Kt0vjCeiKlm2NYyByChdwCoJxHhRkAyCpp1Qw5gMT2g==" saltValue="r/Wy6fWqUNKPwxGtePPwTQ==" spinCount="100000" sheet="1"/>
  <protectedRanges>
    <protectedRange sqref="E8:T8 P9:S9 P10:S10 E12:G12 I12:K12 M12:O12 P13:S13 P14:S14 P15:S15" name="範囲1"/>
  </protectedRanges>
  <mergeCells count="39">
    <mergeCell ref="B8:D8"/>
    <mergeCell ref="P9:S9"/>
    <mergeCell ref="P10:S10"/>
    <mergeCell ref="E8:T8"/>
    <mergeCell ref="E10:O10"/>
    <mergeCell ref="P14:S14"/>
    <mergeCell ref="P16:S16"/>
    <mergeCell ref="P13:S13"/>
    <mergeCell ref="Q11:T11"/>
    <mergeCell ref="Q12:S12"/>
    <mergeCell ref="B7:T7"/>
    <mergeCell ref="B17:T17"/>
    <mergeCell ref="B9:C16"/>
    <mergeCell ref="E15:O15"/>
    <mergeCell ref="D11:D15"/>
    <mergeCell ref="E13:O13"/>
    <mergeCell ref="E9:O9"/>
    <mergeCell ref="E12:G12"/>
    <mergeCell ref="I12:K12"/>
    <mergeCell ref="M12:O12"/>
    <mergeCell ref="E14:O14"/>
    <mergeCell ref="E16:O16"/>
    <mergeCell ref="E11:H11"/>
    <mergeCell ref="I11:L11"/>
    <mergeCell ref="M11:P11"/>
    <mergeCell ref="P15:S15"/>
    <mergeCell ref="B5:D5"/>
    <mergeCell ref="B4:D4"/>
    <mergeCell ref="E5:G5"/>
    <mergeCell ref="E4:H4"/>
    <mergeCell ref="B1:T1"/>
    <mergeCell ref="B3:S3"/>
    <mergeCell ref="I5:K5"/>
    <mergeCell ref="M5:O5"/>
    <mergeCell ref="Q5:S5"/>
    <mergeCell ref="I4:L4"/>
    <mergeCell ref="M4:P4"/>
    <mergeCell ref="Q4:T4"/>
    <mergeCell ref="P2:T2"/>
  </mergeCells>
  <phoneticPr fontId="1"/>
  <dataValidations count="1">
    <dataValidation type="list" allowBlank="1" showInputMessage="1" showErrorMessage="1" sqref="E8:T8" xr:uid="{71A8FF54-54AE-4F05-AE3B-F4BFA8690452}">
      <formula1>"選択してください,駐車場整備地区,商業地域,近隣商業地域,工業専用地域,工業地域,準工業地域,準住居地域,第二種住居地域,第一種住居地域,市街化調整区域"</formula1>
    </dataValidation>
  </dataValidations>
  <pageMargins left="0.7" right="0.7" top="0.75" bottom="0.75" header="0.3" footer="0.3"/>
  <pageSetup paperSize="9" scale="92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5608-BE2D-4146-AFCC-1E5E4D3642B6}">
  <dimension ref="B2:BE200"/>
  <sheetViews>
    <sheetView topLeftCell="A6" zoomScaleNormal="100" workbookViewId="0">
      <selection activeCell="AI6" sqref="AI6"/>
    </sheetView>
  </sheetViews>
  <sheetFormatPr defaultRowHeight="13.5" x14ac:dyDescent="0.15"/>
  <cols>
    <col min="1" max="38" width="4.125" style="1" customWidth="1"/>
    <col min="39" max="40" width="4.125" style="19" customWidth="1"/>
    <col min="41" max="60" width="4.125" style="1" customWidth="1"/>
    <col min="61" max="16384" width="9" style="1"/>
  </cols>
  <sheetData>
    <row r="2" spans="2:54" ht="25.5" customHeight="1" thickBot="1" x14ac:dyDescent="0.2">
      <c r="B2" s="29" t="s">
        <v>78</v>
      </c>
    </row>
    <row r="3" spans="2:54" ht="25.5" customHeight="1" x14ac:dyDescent="0.15">
      <c r="B3" s="131" t="s">
        <v>26</v>
      </c>
      <c r="C3" s="132"/>
      <c r="D3" s="132"/>
      <c r="E3" s="132"/>
      <c r="F3" s="132"/>
      <c r="G3" s="132"/>
      <c r="H3" s="132"/>
      <c r="I3" s="132"/>
      <c r="J3" s="133"/>
      <c r="K3" s="134">
        <f>算定シート!P9</f>
        <v>0</v>
      </c>
      <c r="L3" s="135"/>
      <c r="M3" s="135"/>
      <c r="N3" s="21" t="s">
        <v>9</v>
      </c>
      <c r="O3" s="136" t="s">
        <v>69</v>
      </c>
      <c r="P3" s="132"/>
      <c r="Q3" s="137"/>
    </row>
    <row r="4" spans="2:54" ht="25.5" customHeight="1" x14ac:dyDescent="0.15">
      <c r="B4" s="174" t="s">
        <v>28</v>
      </c>
      <c r="C4" s="144"/>
      <c r="D4" s="144"/>
      <c r="E4" s="144"/>
      <c r="F4" s="144"/>
      <c r="G4" s="144"/>
      <c r="H4" s="144"/>
      <c r="I4" s="144"/>
      <c r="J4" s="175"/>
      <c r="K4" s="119">
        <f>K5+K6+K7+K8</f>
        <v>0</v>
      </c>
      <c r="L4" s="142"/>
      <c r="M4" s="142"/>
      <c r="N4" s="5" t="s">
        <v>3</v>
      </c>
      <c r="O4" s="143" t="s">
        <v>44</v>
      </c>
      <c r="P4" s="144"/>
      <c r="Q4" s="176"/>
    </row>
    <row r="5" spans="2:54" ht="25.5" customHeight="1" x14ac:dyDescent="0.15">
      <c r="B5" s="157" t="s">
        <v>25</v>
      </c>
      <c r="C5" s="17" t="s">
        <v>6</v>
      </c>
      <c r="D5" s="141" t="s">
        <v>18</v>
      </c>
      <c r="E5" s="141"/>
      <c r="F5" s="141"/>
      <c r="G5" s="141"/>
      <c r="H5" s="141"/>
      <c r="I5" s="141"/>
      <c r="J5" s="141"/>
      <c r="K5" s="118">
        <f>算定シート!E12</f>
        <v>0</v>
      </c>
      <c r="L5" s="118"/>
      <c r="M5" s="119"/>
      <c r="N5" s="3" t="s">
        <v>9</v>
      </c>
      <c r="O5" s="143"/>
      <c r="P5" s="144"/>
      <c r="Q5" s="22"/>
    </row>
    <row r="6" spans="2:54" ht="25.5" customHeight="1" x14ac:dyDescent="0.15">
      <c r="B6" s="157"/>
      <c r="C6" s="17" t="s">
        <v>7</v>
      </c>
      <c r="D6" s="141" t="s">
        <v>14</v>
      </c>
      <c r="E6" s="141"/>
      <c r="F6" s="141"/>
      <c r="G6" s="141"/>
      <c r="H6" s="141"/>
      <c r="I6" s="141"/>
      <c r="J6" s="141"/>
      <c r="K6" s="118">
        <f>IF(算定シート!I12&gt;10000,AQ18,算定シート!I12)</f>
        <v>0</v>
      </c>
      <c r="L6" s="118"/>
      <c r="M6" s="119"/>
      <c r="N6" s="3" t="s">
        <v>9</v>
      </c>
      <c r="O6" s="143"/>
      <c r="P6" s="144"/>
      <c r="Q6" s="176"/>
      <c r="R6" s="222" t="str">
        <f>IF(K6&gt;10000,"第３条の３特例による面積低減あり","")</f>
        <v/>
      </c>
      <c r="S6" s="223"/>
      <c r="T6" s="223"/>
      <c r="U6" s="223"/>
      <c r="V6" s="223"/>
      <c r="W6" s="223"/>
      <c r="X6" s="225"/>
      <c r="Y6" s="224"/>
      <c r="Z6" s="224"/>
    </row>
    <row r="7" spans="2:54" ht="25.5" customHeight="1" x14ac:dyDescent="0.15">
      <c r="B7" s="157"/>
      <c r="C7" s="17" t="s">
        <v>8</v>
      </c>
      <c r="D7" s="141" t="s">
        <v>15</v>
      </c>
      <c r="E7" s="141"/>
      <c r="F7" s="141"/>
      <c r="G7" s="141"/>
      <c r="H7" s="141"/>
      <c r="I7" s="141"/>
      <c r="J7" s="141"/>
      <c r="K7" s="118">
        <f>算定シート!M12</f>
        <v>0</v>
      </c>
      <c r="L7" s="118"/>
      <c r="M7" s="119"/>
      <c r="N7" s="3" t="s">
        <v>9</v>
      </c>
      <c r="O7" s="143"/>
      <c r="P7" s="144"/>
      <c r="Q7" s="22"/>
    </row>
    <row r="8" spans="2:54" ht="25.5" customHeight="1" x14ac:dyDescent="0.15">
      <c r="B8" s="157"/>
      <c r="C8" s="17" t="s">
        <v>10</v>
      </c>
      <c r="D8" s="141" t="s">
        <v>16</v>
      </c>
      <c r="E8" s="141"/>
      <c r="F8" s="141"/>
      <c r="G8" s="141"/>
      <c r="H8" s="141"/>
      <c r="I8" s="141"/>
      <c r="J8" s="141"/>
      <c r="K8" s="118">
        <f>算定シート!Q12</f>
        <v>0</v>
      </c>
      <c r="L8" s="118"/>
      <c r="M8" s="119"/>
      <c r="N8" s="3" t="s">
        <v>9</v>
      </c>
      <c r="O8" s="143"/>
      <c r="P8" s="144"/>
      <c r="Q8" s="22"/>
    </row>
    <row r="9" spans="2:54" ht="25.5" customHeight="1" x14ac:dyDescent="0.15">
      <c r="B9" s="157"/>
      <c r="C9" s="17" t="s">
        <v>11</v>
      </c>
      <c r="D9" s="141" t="s">
        <v>21</v>
      </c>
      <c r="E9" s="141"/>
      <c r="F9" s="141"/>
      <c r="G9" s="141"/>
      <c r="H9" s="141"/>
      <c r="I9" s="141"/>
      <c r="J9" s="141"/>
      <c r="K9" s="119">
        <f>算定シート!P13</f>
        <v>0</v>
      </c>
      <c r="L9" s="142"/>
      <c r="M9" s="142"/>
      <c r="N9" s="4" t="s">
        <v>9</v>
      </c>
      <c r="O9" s="143"/>
      <c r="P9" s="144"/>
      <c r="Q9" s="22"/>
    </row>
    <row r="10" spans="2:54" ht="25.5" customHeight="1" x14ac:dyDescent="0.15">
      <c r="B10" s="157"/>
      <c r="C10" s="17" t="s">
        <v>12</v>
      </c>
      <c r="D10" s="141" t="s">
        <v>5</v>
      </c>
      <c r="E10" s="141"/>
      <c r="F10" s="141"/>
      <c r="G10" s="141"/>
      <c r="H10" s="141"/>
      <c r="I10" s="141"/>
      <c r="J10" s="141"/>
      <c r="K10" s="118">
        <f>算定シート!P14</f>
        <v>0</v>
      </c>
      <c r="L10" s="118"/>
      <c r="M10" s="119"/>
      <c r="N10" s="3" t="s">
        <v>9</v>
      </c>
      <c r="O10" s="119">
        <f>IF(算定シート!P15&lt;400,算定シート!P15,AQ26)</f>
        <v>0</v>
      </c>
      <c r="P10" s="142"/>
      <c r="Q10" s="22" t="s">
        <v>17</v>
      </c>
      <c r="R10" s="222" t="str">
        <f>IF(O10&gt;400,"第３条の４特例による戸数低減あり","")</f>
        <v/>
      </c>
      <c r="S10" s="223"/>
      <c r="T10" s="223"/>
      <c r="U10" s="223"/>
      <c r="V10" s="223"/>
      <c r="W10" s="223"/>
      <c r="X10" s="225"/>
      <c r="Y10" s="226"/>
      <c r="Z10" s="226"/>
    </row>
    <row r="11" spans="2:54" ht="25.5" customHeight="1" thickBot="1" x14ac:dyDescent="0.2">
      <c r="B11" s="158"/>
      <c r="C11" s="18" t="s">
        <v>13</v>
      </c>
      <c r="D11" s="145" t="s">
        <v>19</v>
      </c>
      <c r="E11" s="145"/>
      <c r="F11" s="145"/>
      <c r="G11" s="145"/>
      <c r="H11" s="145"/>
      <c r="I11" s="145"/>
      <c r="J11" s="145"/>
      <c r="K11" s="146" t="str">
        <f>算定シート!P16</f>
        <v/>
      </c>
      <c r="L11" s="147"/>
      <c r="M11" s="147"/>
      <c r="N11" s="23" t="s">
        <v>9</v>
      </c>
      <c r="O11" s="148"/>
      <c r="P11" s="149"/>
      <c r="Q11" s="24"/>
    </row>
    <row r="12" spans="2:54" ht="25.5" customHeight="1" x14ac:dyDescent="0.15">
      <c r="B12" s="6"/>
      <c r="C12" s="7"/>
      <c r="D12" s="7"/>
      <c r="E12" s="7"/>
      <c r="F12" s="7"/>
      <c r="G12" s="7"/>
      <c r="H12" s="7"/>
      <c r="I12" s="7"/>
      <c r="J12" s="7"/>
      <c r="K12" s="16"/>
      <c r="L12" s="16"/>
      <c r="M12" s="16"/>
      <c r="N12" s="8"/>
      <c r="O12" s="7"/>
      <c r="P12" s="7"/>
      <c r="Q12" s="7"/>
    </row>
    <row r="13" spans="2:54" ht="25.5" customHeight="1" thickBot="1" x14ac:dyDescent="0.2">
      <c r="B13" s="177" t="s">
        <v>83</v>
      </c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U13" s="2" t="s">
        <v>82</v>
      </c>
      <c r="AN13" s="2" t="s">
        <v>84</v>
      </c>
      <c r="AO13" s="19"/>
      <c r="AP13" s="19"/>
      <c r="AQ13" s="2"/>
      <c r="AR13" s="19"/>
      <c r="AS13" s="19"/>
      <c r="AT13" s="19"/>
      <c r="AU13" s="19"/>
      <c r="AV13" s="19"/>
      <c r="AW13" s="19"/>
      <c r="AX13" s="19"/>
      <c r="AY13" s="19"/>
    </row>
    <row r="14" spans="2:54" ht="25.5" customHeight="1" thickBot="1" x14ac:dyDescent="0.2">
      <c r="B14" s="159" t="s">
        <v>27</v>
      </c>
      <c r="C14" s="160"/>
      <c r="D14" s="160"/>
      <c r="E14" s="160"/>
      <c r="F14" s="160"/>
      <c r="G14" s="160"/>
      <c r="H14" s="160"/>
      <c r="I14" s="160"/>
      <c r="J14" s="161"/>
      <c r="K14" s="138" t="str">
        <f>IF(OR(算定シート!E8="駐車場整備地区",算定シート!E8="商業地域",算定シート!E8="近隣商業地域"),"整備地区等","周辺地区")</f>
        <v>周辺地区</v>
      </c>
      <c r="L14" s="139"/>
      <c r="M14" s="139"/>
      <c r="N14" s="139"/>
      <c r="O14" s="139"/>
      <c r="P14" s="139"/>
      <c r="Q14" s="140"/>
      <c r="U14" s="159" t="s">
        <v>43</v>
      </c>
      <c r="V14" s="160"/>
      <c r="W14" s="160"/>
      <c r="X14" s="160"/>
      <c r="Y14" s="160"/>
      <c r="Z14" s="160"/>
      <c r="AA14" s="160"/>
      <c r="AB14" s="160"/>
      <c r="AC14" s="161"/>
      <c r="AD14" s="138" t="str">
        <f>IF(OR(算定シート!E8="駐車場整備地区",算定シート!E8="商業地域",算定シート!E8="近隣商業地域"),"整備地区等","周辺地区")</f>
        <v>周辺地区</v>
      </c>
      <c r="AE14" s="139"/>
      <c r="AF14" s="139"/>
      <c r="AG14" s="139"/>
      <c r="AH14" s="139"/>
      <c r="AI14" s="139"/>
      <c r="AJ14" s="140"/>
      <c r="AN14" s="249" t="s">
        <v>63</v>
      </c>
      <c r="AO14" s="241"/>
      <c r="AP14" s="241"/>
      <c r="AQ14" s="198" t="s">
        <v>59</v>
      </c>
      <c r="AR14" s="198"/>
      <c r="AS14" s="198"/>
      <c r="AT14" s="198" t="s">
        <v>60</v>
      </c>
      <c r="AU14" s="198"/>
      <c r="AV14" s="198"/>
      <c r="AW14" s="198" t="s">
        <v>61</v>
      </c>
      <c r="AX14" s="198"/>
      <c r="AY14" s="198"/>
      <c r="AZ14" s="198" t="s">
        <v>62</v>
      </c>
      <c r="BA14" s="198"/>
      <c r="BB14" s="242"/>
    </row>
    <row r="15" spans="2:54" ht="25.5" customHeight="1" thickBot="1" x14ac:dyDescent="0.2">
      <c r="B15" s="159" t="s">
        <v>29</v>
      </c>
      <c r="C15" s="160"/>
      <c r="D15" s="160"/>
      <c r="E15" s="160"/>
      <c r="F15" s="160"/>
      <c r="G15" s="160"/>
      <c r="H15" s="160"/>
      <c r="I15" s="160"/>
      <c r="J15" s="161"/>
      <c r="K15" s="138">
        <f>IF(K14="整備地区等",((K4-K10)+(K10+K11)/2),(K4-K10))</f>
        <v>0</v>
      </c>
      <c r="L15" s="139"/>
      <c r="M15" s="139"/>
      <c r="N15" s="139"/>
      <c r="O15" s="139"/>
      <c r="P15" s="139"/>
      <c r="Q15" s="15" t="s">
        <v>41</v>
      </c>
      <c r="U15" s="208" t="s">
        <v>45</v>
      </c>
      <c r="V15" s="209"/>
      <c r="W15" s="209"/>
      <c r="X15" s="209"/>
      <c r="Y15" s="209"/>
      <c r="Z15" s="209"/>
      <c r="AA15" s="209"/>
      <c r="AB15" s="209"/>
      <c r="AC15" s="210"/>
      <c r="AD15" s="134">
        <f>K4</f>
        <v>0</v>
      </c>
      <c r="AE15" s="135"/>
      <c r="AF15" s="135"/>
      <c r="AG15" s="135"/>
      <c r="AH15" s="135"/>
      <c r="AI15" s="135"/>
      <c r="AJ15" s="12" t="s">
        <v>3</v>
      </c>
      <c r="AN15" s="246" t="s">
        <v>64</v>
      </c>
      <c r="AO15" s="182"/>
      <c r="AP15" s="182"/>
      <c r="AQ15" s="247">
        <f>IF((算定シート!I12-AZ15-AW15-AT15)&gt;0,(算定シート!I12-AZ15-AW15-AT15),0)</f>
        <v>0</v>
      </c>
      <c r="AR15" s="199"/>
      <c r="AS15" s="199"/>
      <c r="AT15" s="199">
        <f>IF((算定シート!I12-AZ15-AW15-10000)&gt;0,(算定シート!I12-AZ15-AW15-10000),0)</f>
        <v>0</v>
      </c>
      <c r="AU15" s="199"/>
      <c r="AV15" s="199"/>
      <c r="AW15" s="199">
        <f>IF((算定シート!I12-AZ15-50000)&gt;0,(算定シート!I12-AZ15-50000),0)</f>
        <v>0</v>
      </c>
      <c r="AX15" s="199"/>
      <c r="AY15" s="199"/>
      <c r="AZ15" s="199">
        <f>IF((算定シート!I12-100000)&gt;0,(算定シート!I12-100000),0)</f>
        <v>0</v>
      </c>
      <c r="BA15" s="199"/>
      <c r="BB15" s="243"/>
    </row>
    <row r="16" spans="2:54" ht="25.5" customHeight="1" thickBot="1" x14ac:dyDescent="0.2">
      <c r="B16" s="162" t="s">
        <v>30</v>
      </c>
      <c r="C16" s="163"/>
      <c r="D16" s="163"/>
      <c r="E16" s="163"/>
      <c r="F16" s="163"/>
      <c r="G16" s="163"/>
      <c r="H16" s="163"/>
      <c r="I16" s="163"/>
      <c r="J16" s="163"/>
      <c r="K16" s="183" t="str">
        <f>IF(AND(K14="整備地区等",K15&gt;1000),"届出必要",IF(AND(K14="周辺地区",K15&gt;2000),"届出必要","届出不要"))</f>
        <v>届出不要</v>
      </c>
      <c r="L16" s="183"/>
      <c r="M16" s="183"/>
      <c r="N16" s="183"/>
      <c r="O16" s="183"/>
      <c r="P16" s="183"/>
      <c r="Q16" s="184"/>
      <c r="U16" s="174" t="s">
        <v>46</v>
      </c>
      <c r="V16" s="144"/>
      <c r="W16" s="144"/>
      <c r="X16" s="144"/>
      <c r="Y16" s="144"/>
      <c r="Z16" s="144"/>
      <c r="AA16" s="144"/>
      <c r="AB16" s="144"/>
      <c r="AC16" s="175"/>
      <c r="AD16" s="119">
        <f>O10</f>
        <v>0</v>
      </c>
      <c r="AE16" s="142"/>
      <c r="AF16" s="142"/>
      <c r="AG16" s="142"/>
      <c r="AH16" s="142"/>
      <c r="AI16" s="142"/>
      <c r="AJ16" s="13" t="s">
        <v>49</v>
      </c>
      <c r="AN16" s="246" t="s">
        <v>55</v>
      </c>
      <c r="AO16" s="182"/>
      <c r="AP16" s="182"/>
      <c r="AQ16" s="199">
        <v>1</v>
      </c>
      <c r="AR16" s="199"/>
      <c r="AS16" s="199"/>
      <c r="AT16" s="199">
        <v>0.7</v>
      </c>
      <c r="AU16" s="199"/>
      <c r="AV16" s="199"/>
      <c r="AW16" s="199">
        <v>0.6</v>
      </c>
      <c r="AX16" s="199"/>
      <c r="AY16" s="199"/>
      <c r="AZ16" s="199">
        <v>0.5</v>
      </c>
      <c r="BA16" s="199"/>
      <c r="BB16" s="243"/>
    </row>
    <row r="17" spans="2:57" ht="25.5" customHeight="1" thickBot="1" x14ac:dyDescent="0.2">
      <c r="B17" s="150" t="s">
        <v>31</v>
      </c>
      <c r="C17" s="151"/>
      <c r="D17" s="151"/>
      <c r="E17" s="156" t="s">
        <v>33</v>
      </c>
      <c r="F17" s="156"/>
      <c r="G17" s="156"/>
      <c r="H17" s="156"/>
      <c r="I17" s="156"/>
      <c r="J17" s="156"/>
      <c r="K17" s="134">
        <f>K5</f>
        <v>0</v>
      </c>
      <c r="L17" s="135"/>
      <c r="M17" s="135"/>
      <c r="N17" s="135"/>
      <c r="O17" s="135"/>
      <c r="P17" s="135"/>
      <c r="Q17" s="12" t="s">
        <v>41</v>
      </c>
      <c r="U17" s="235" t="s">
        <v>79</v>
      </c>
      <c r="V17" s="220"/>
      <c r="W17" s="220"/>
      <c r="X17" s="220"/>
      <c r="Y17" s="220"/>
      <c r="Z17" s="220"/>
      <c r="AA17" s="220"/>
      <c r="AB17" s="220"/>
      <c r="AC17" s="221"/>
      <c r="AD17" s="211" t="str">
        <f>IF(AD14="整備地区等",IF(AD23&gt;2000,"対象",IF(AND(AD22&gt;2000,AH22&gt;50),"対象","非対象")),IF(AD23&gt;3000,"対象",IF(AND(AD22&gt;3000,AH22&gt;50),"対象","非対象")))</f>
        <v>非対象</v>
      </c>
      <c r="AE17" s="211"/>
      <c r="AF17" s="211"/>
      <c r="AG17" s="211"/>
      <c r="AH17" s="211"/>
      <c r="AI17" s="211"/>
      <c r="AJ17" s="212"/>
      <c r="AN17" s="246" t="s">
        <v>66</v>
      </c>
      <c r="AO17" s="182"/>
      <c r="AP17" s="182"/>
      <c r="AQ17" s="199">
        <f>AQ15*AQ16</f>
        <v>0</v>
      </c>
      <c r="AR17" s="199"/>
      <c r="AS17" s="199"/>
      <c r="AT17" s="199">
        <f t="shared" ref="AT17" si="0">AT15*AT16</f>
        <v>0</v>
      </c>
      <c r="AU17" s="199"/>
      <c r="AV17" s="199"/>
      <c r="AW17" s="199">
        <f t="shared" ref="AW17" si="1">AW15*AW16</f>
        <v>0</v>
      </c>
      <c r="AX17" s="199"/>
      <c r="AY17" s="199"/>
      <c r="AZ17" s="199">
        <f t="shared" ref="AZ17" si="2">AZ15*AZ16</f>
        <v>0</v>
      </c>
      <c r="BA17" s="199"/>
      <c r="BB17" s="243"/>
    </row>
    <row r="18" spans="2:57" ht="25.5" customHeight="1" thickBot="1" x14ac:dyDescent="0.2">
      <c r="B18" s="152"/>
      <c r="C18" s="153"/>
      <c r="D18" s="153"/>
      <c r="E18" s="141" t="s">
        <v>34</v>
      </c>
      <c r="F18" s="141"/>
      <c r="G18" s="141"/>
      <c r="H18" s="141"/>
      <c r="I18" s="141"/>
      <c r="J18" s="141"/>
      <c r="K18" s="119">
        <f>K4-K5-K10</f>
        <v>0</v>
      </c>
      <c r="L18" s="142"/>
      <c r="M18" s="142"/>
      <c r="N18" s="142"/>
      <c r="O18" s="142"/>
      <c r="P18" s="142"/>
      <c r="Q18" s="13" t="s">
        <v>41</v>
      </c>
      <c r="U18" s="213" t="s">
        <v>72</v>
      </c>
      <c r="V18" s="214"/>
      <c r="W18" s="214"/>
      <c r="X18" s="156" t="s">
        <v>33</v>
      </c>
      <c r="Y18" s="156"/>
      <c r="Z18" s="156"/>
      <c r="AA18" s="156"/>
      <c r="AB18" s="156"/>
      <c r="AC18" s="156"/>
      <c r="AD18" s="135">
        <f>K5</f>
        <v>0</v>
      </c>
      <c r="AE18" s="135"/>
      <c r="AF18" s="135"/>
      <c r="AG18" s="135"/>
      <c r="AH18" s="135"/>
      <c r="AI18" s="135"/>
      <c r="AJ18" s="12" t="s">
        <v>3</v>
      </c>
      <c r="AN18" s="248" t="s">
        <v>65</v>
      </c>
      <c r="AO18" s="194"/>
      <c r="AP18" s="194"/>
      <c r="AQ18" s="244">
        <f>SUM(AQ17:BB17)</f>
        <v>0</v>
      </c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5"/>
    </row>
    <row r="19" spans="2:57" ht="25.5" customHeight="1" x14ac:dyDescent="0.15">
      <c r="B19" s="152"/>
      <c r="C19" s="153"/>
      <c r="D19" s="153"/>
      <c r="E19" s="141" t="s">
        <v>32</v>
      </c>
      <c r="F19" s="141"/>
      <c r="G19" s="141"/>
      <c r="H19" s="141"/>
      <c r="I19" s="141"/>
      <c r="J19" s="141"/>
      <c r="K19" s="119" t="e">
        <f>K10+K11</f>
        <v>#VALUE!</v>
      </c>
      <c r="L19" s="142"/>
      <c r="M19" s="142"/>
      <c r="N19" s="142"/>
      <c r="O19" s="142"/>
      <c r="P19" s="142"/>
      <c r="Q19" s="13" t="s">
        <v>41</v>
      </c>
      <c r="U19" s="215"/>
      <c r="V19" s="216"/>
      <c r="W19" s="216"/>
      <c r="X19" s="141" t="str">
        <f>IF(K6&gt;10000,"事務所(特例あり)","事務所")</f>
        <v>事務所</v>
      </c>
      <c r="Y19" s="141"/>
      <c r="Z19" s="141"/>
      <c r="AA19" s="141"/>
      <c r="AB19" s="141"/>
      <c r="AC19" s="141"/>
      <c r="AD19" s="142">
        <f>IF(K6&gt;10000,AQ18,算定シート!I12)</f>
        <v>0</v>
      </c>
      <c r="AE19" s="142"/>
      <c r="AF19" s="142"/>
      <c r="AG19" s="142"/>
      <c r="AH19" s="142"/>
      <c r="AI19" s="142"/>
      <c r="AJ19" s="13" t="s">
        <v>3</v>
      </c>
    </row>
    <row r="20" spans="2:57" ht="25.5" customHeight="1" thickBot="1" x14ac:dyDescent="0.2">
      <c r="B20" s="154"/>
      <c r="C20" s="155"/>
      <c r="D20" s="155"/>
      <c r="E20" s="145" t="s">
        <v>35</v>
      </c>
      <c r="F20" s="145"/>
      <c r="G20" s="145"/>
      <c r="H20" s="145"/>
      <c r="I20" s="145"/>
      <c r="J20" s="145"/>
      <c r="K20" s="146">
        <f>K15</f>
        <v>0</v>
      </c>
      <c r="L20" s="147"/>
      <c r="M20" s="147"/>
      <c r="N20" s="147"/>
      <c r="O20" s="147"/>
      <c r="P20" s="147"/>
      <c r="Q20" s="14" t="s">
        <v>41</v>
      </c>
      <c r="U20" s="215"/>
      <c r="V20" s="216"/>
      <c r="W20" s="216"/>
      <c r="X20" s="141" t="s">
        <v>2</v>
      </c>
      <c r="Y20" s="141"/>
      <c r="Z20" s="141"/>
      <c r="AA20" s="141"/>
      <c r="AB20" s="141"/>
      <c r="AC20" s="141"/>
      <c r="AD20" s="142">
        <f>K7</f>
        <v>0</v>
      </c>
      <c r="AE20" s="142"/>
      <c r="AF20" s="142"/>
      <c r="AG20" s="142"/>
      <c r="AH20" s="142"/>
      <c r="AI20" s="142"/>
      <c r="AJ20" s="13" t="s">
        <v>3</v>
      </c>
    </row>
    <row r="21" spans="2:57" ht="25.5" customHeight="1" thickBot="1" x14ac:dyDescent="0.2">
      <c r="B21" s="168" t="s">
        <v>36</v>
      </c>
      <c r="C21" s="169"/>
      <c r="D21" s="170"/>
      <c r="E21" s="241" t="s">
        <v>37</v>
      </c>
      <c r="F21" s="241"/>
      <c r="G21" s="241"/>
      <c r="H21" s="241"/>
      <c r="I21" s="156">
        <v>150</v>
      </c>
      <c r="J21" s="156"/>
      <c r="K21" s="227" t="e">
        <f>IF(B24="A≧6000",(K17/I21),(K17*K26/I21))</f>
        <v>#DIV/0!</v>
      </c>
      <c r="L21" s="228"/>
      <c r="M21" s="228"/>
      <c r="N21" s="25" t="s">
        <v>70</v>
      </c>
      <c r="O21" s="229">
        <f>IF(K16="届出必要",(ROUNDUP(K21+K22+K23,0)),0)</f>
        <v>0</v>
      </c>
      <c r="P21" s="230"/>
      <c r="Q21" s="191" t="s">
        <v>42</v>
      </c>
      <c r="U21" s="215"/>
      <c r="V21" s="216"/>
      <c r="W21" s="216"/>
      <c r="X21" s="182" t="s">
        <v>71</v>
      </c>
      <c r="Y21" s="182"/>
      <c r="Z21" s="182"/>
      <c r="AA21" s="182"/>
      <c r="AB21" s="182"/>
      <c r="AC21" s="182"/>
      <c r="AD21" s="142">
        <f>K4-K5-K6-K7-K10</f>
        <v>0</v>
      </c>
      <c r="AE21" s="142"/>
      <c r="AF21" s="142"/>
      <c r="AG21" s="142"/>
      <c r="AH21" s="142"/>
      <c r="AI21" s="142"/>
      <c r="AJ21" s="13" t="s">
        <v>3</v>
      </c>
      <c r="AN21" s="2" t="s">
        <v>58</v>
      </c>
      <c r="AO21" s="19"/>
      <c r="AQ21" s="2"/>
    </row>
    <row r="22" spans="2:57" ht="25.5" customHeight="1" x14ac:dyDescent="0.15">
      <c r="B22" s="171"/>
      <c r="C22" s="172"/>
      <c r="D22" s="173"/>
      <c r="E22" s="182" t="s">
        <v>38</v>
      </c>
      <c r="F22" s="182"/>
      <c r="G22" s="182"/>
      <c r="H22" s="182"/>
      <c r="I22" s="141">
        <v>200</v>
      </c>
      <c r="J22" s="141"/>
      <c r="K22" s="200" t="e">
        <f>IF(B24="A≧6000",(K18/I22),(K18*K26/I22))</f>
        <v>#DIV/0!</v>
      </c>
      <c r="L22" s="201"/>
      <c r="M22" s="201"/>
      <c r="N22" s="26" t="s">
        <v>70</v>
      </c>
      <c r="O22" s="231"/>
      <c r="P22" s="232"/>
      <c r="Q22" s="192"/>
      <c r="R22" s="19"/>
      <c r="U22" s="215"/>
      <c r="V22" s="216"/>
      <c r="W22" s="216"/>
      <c r="X22" s="143" t="str">
        <f>IF(O10&gt;400,"共同住宅(特例あり)","共同住宅")</f>
        <v>共同住宅</v>
      </c>
      <c r="Y22" s="144"/>
      <c r="Z22" s="144"/>
      <c r="AA22" s="144"/>
      <c r="AB22" s="144"/>
      <c r="AC22" s="175"/>
      <c r="AD22" s="180">
        <f>K10</f>
        <v>0</v>
      </c>
      <c r="AE22" s="181"/>
      <c r="AF22" s="181"/>
      <c r="AG22" s="27" t="s">
        <v>73</v>
      </c>
      <c r="AH22" s="180">
        <f>O10</f>
        <v>0</v>
      </c>
      <c r="AI22" s="181"/>
      <c r="AJ22" s="13" t="s">
        <v>48</v>
      </c>
      <c r="AN22" s="252" t="s">
        <v>54</v>
      </c>
      <c r="AO22" s="156"/>
      <c r="AP22" s="156"/>
      <c r="AQ22" s="178" t="s">
        <v>51</v>
      </c>
      <c r="AR22" s="178"/>
      <c r="AS22" s="178"/>
      <c r="AT22" s="178" t="s">
        <v>52</v>
      </c>
      <c r="AU22" s="178"/>
      <c r="AV22" s="178"/>
      <c r="AW22" s="178" t="s">
        <v>53</v>
      </c>
      <c r="AX22" s="178"/>
      <c r="AY22" s="179"/>
    </row>
    <row r="23" spans="2:57" ht="25.5" customHeight="1" thickBot="1" x14ac:dyDescent="0.2">
      <c r="B23" s="171"/>
      <c r="C23" s="172"/>
      <c r="D23" s="173"/>
      <c r="E23" s="182" t="s">
        <v>39</v>
      </c>
      <c r="F23" s="182"/>
      <c r="G23" s="182"/>
      <c r="H23" s="182"/>
      <c r="I23" s="141">
        <v>450</v>
      </c>
      <c r="J23" s="141"/>
      <c r="K23" s="200" t="e">
        <f>IF(B24="A≧6000",(K19/I23),(K19*K26/I23))</f>
        <v>#VALUE!</v>
      </c>
      <c r="L23" s="201"/>
      <c r="M23" s="201"/>
      <c r="N23" s="26" t="s">
        <v>70</v>
      </c>
      <c r="O23" s="233"/>
      <c r="P23" s="234"/>
      <c r="Q23" s="193"/>
      <c r="R23" s="19"/>
      <c r="U23" s="217"/>
      <c r="V23" s="218"/>
      <c r="W23" s="218"/>
      <c r="X23" s="219" t="s">
        <v>74</v>
      </c>
      <c r="Y23" s="220"/>
      <c r="Z23" s="220"/>
      <c r="AA23" s="220"/>
      <c r="AB23" s="220"/>
      <c r="AC23" s="221"/>
      <c r="AD23" s="253">
        <f>(K4-K10)</f>
        <v>0</v>
      </c>
      <c r="AE23" s="253"/>
      <c r="AF23" s="253"/>
      <c r="AG23" s="253"/>
      <c r="AH23" s="253"/>
      <c r="AI23" s="253"/>
      <c r="AJ23" s="28" t="s">
        <v>73</v>
      </c>
      <c r="AN23" s="251" t="s">
        <v>64</v>
      </c>
      <c r="AO23" s="141"/>
      <c r="AP23" s="141"/>
      <c r="AQ23" s="118">
        <f>IF(算定シート!P15-AT23-AW23&gt;0,算定シート!P15-AT23-AW23,0)</f>
        <v>0</v>
      </c>
      <c r="AR23" s="118"/>
      <c r="AS23" s="118"/>
      <c r="AT23" s="118">
        <f>IF(算定シート!P15-400-AW23&gt;0,算定シート!P15-400-AW23,0)</f>
        <v>0</v>
      </c>
      <c r="AU23" s="118"/>
      <c r="AV23" s="118"/>
      <c r="AW23" s="118">
        <f>IF(算定シート!P15-800&gt;0,算定シート!P15-800,0)</f>
        <v>0</v>
      </c>
      <c r="AX23" s="118"/>
      <c r="AY23" s="250"/>
    </row>
    <row r="24" spans="2:57" ht="25.5" customHeight="1" thickBot="1" x14ac:dyDescent="0.2">
      <c r="B24" s="195" t="str">
        <f>IF(K3-K9&gt;=6000,"A≧6000","A&lt;6000")</f>
        <v>A&lt;6000</v>
      </c>
      <c r="C24" s="196"/>
      <c r="D24" s="197"/>
      <c r="E24" s="194" t="s">
        <v>40</v>
      </c>
      <c r="F24" s="194"/>
      <c r="G24" s="194"/>
      <c r="H24" s="194"/>
      <c r="I24" s="145">
        <v>200</v>
      </c>
      <c r="J24" s="145"/>
      <c r="K24" s="164">
        <f>IF(K16="届出必要",IF(B24="A≧6000",ROUNDUP(K20/I24,0),ROUNDUP(K20*K27/I24,0)),0)</f>
        <v>0</v>
      </c>
      <c r="L24" s="165"/>
      <c r="M24" s="165"/>
      <c r="N24" s="165"/>
      <c r="O24" s="165"/>
      <c r="P24" s="165"/>
      <c r="Q24" s="20" t="s">
        <v>4</v>
      </c>
      <c r="R24" s="19"/>
      <c r="U24" s="168" t="s">
        <v>50</v>
      </c>
      <c r="V24" s="169"/>
      <c r="W24" s="240" t="s">
        <v>107</v>
      </c>
      <c r="X24" s="262" t="s">
        <v>98</v>
      </c>
      <c r="Y24" s="241"/>
      <c r="Z24" s="241"/>
      <c r="AA24" s="241"/>
      <c r="AB24" s="156">
        <v>3000</v>
      </c>
      <c r="AC24" s="156"/>
      <c r="AD24" s="227" t="e">
        <f>IF(B24="A≧6000",(AD18/AB24),(AD18*AD37/AB24))</f>
        <v>#DIV/0!</v>
      </c>
      <c r="AE24" s="228"/>
      <c r="AF24" s="228"/>
      <c r="AG24" s="228"/>
      <c r="AH24" s="228"/>
      <c r="AI24" s="228"/>
      <c r="AJ24" s="9" t="s">
        <v>4</v>
      </c>
      <c r="AN24" s="251" t="s">
        <v>55</v>
      </c>
      <c r="AO24" s="141"/>
      <c r="AP24" s="141"/>
      <c r="AQ24" s="118">
        <v>1</v>
      </c>
      <c r="AR24" s="118"/>
      <c r="AS24" s="118"/>
      <c r="AT24" s="118">
        <v>0.5</v>
      </c>
      <c r="AU24" s="118"/>
      <c r="AV24" s="118"/>
      <c r="AW24" s="118">
        <v>0.25</v>
      </c>
      <c r="AX24" s="118"/>
      <c r="AY24" s="250"/>
    </row>
    <row r="25" spans="2:57" ht="25.5" customHeight="1" thickBot="1" x14ac:dyDescent="0.2">
      <c r="B25" s="162" t="s">
        <v>108</v>
      </c>
      <c r="C25" s="163"/>
      <c r="D25" s="163"/>
      <c r="E25" s="163"/>
      <c r="F25" s="163"/>
      <c r="G25" s="163"/>
      <c r="H25" s="163"/>
      <c r="I25" s="163"/>
      <c r="J25" s="163"/>
      <c r="K25" s="166">
        <f>IF(B24="A&lt;6000",K3-K9,"")</f>
        <v>0</v>
      </c>
      <c r="L25" s="167"/>
      <c r="M25" s="167"/>
      <c r="N25" s="167"/>
      <c r="O25" s="167"/>
      <c r="P25" s="167"/>
      <c r="Q25" s="11" t="str">
        <f>IF(B24="A&lt;6000","㎡","")</f>
        <v>㎡</v>
      </c>
      <c r="U25" s="171"/>
      <c r="V25" s="172"/>
      <c r="W25" s="238"/>
      <c r="X25" s="123" t="s">
        <v>99</v>
      </c>
      <c r="Y25" s="123"/>
      <c r="Z25" s="123"/>
      <c r="AA25" s="124"/>
      <c r="AB25" s="143">
        <v>5000</v>
      </c>
      <c r="AC25" s="175"/>
      <c r="AD25" s="200" t="e">
        <f>IF(B24="A≧6000",(AD19/AB25),(AD19*AD37/AB25))</f>
        <v>#DIV/0!</v>
      </c>
      <c r="AE25" s="201"/>
      <c r="AF25" s="201"/>
      <c r="AG25" s="201"/>
      <c r="AH25" s="201"/>
      <c r="AI25" s="201"/>
      <c r="AJ25" s="10" t="s">
        <v>4</v>
      </c>
      <c r="AN25" s="251" t="s">
        <v>56</v>
      </c>
      <c r="AO25" s="141"/>
      <c r="AP25" s="141"/>
      <c r="AQ25" s="118">
        <f>AQ23*AQ24</f>
        <v>0</v>
      </c>
      <c r="AR25" s="118"/>
      <c r="AS25" s="118"/>
      <c r="AT25" s="118">
        <f t="shared" ref="AT25" si="3">AT23*AT24</f>
        <v>0</v>
      </c>
      <c r="AU25" s="118"/>
      <c r="AV25" s="118"/>
      <c r="AW25" s="118">
        <f t="shared" ref="AW25" si="4">AW23*AW24</f>
        <v>0</v>
      </c>
      <c r="AX25" s="118"/>
      <c r="AY25" s="250"/>
    </row>
    <row r="26" spans="2:57" ht="25.5" customHeight="1" thickBot="1" x14ac:dyDescent="0.2">
      <c r="B26" s="185" t="s">
        <v>109</v>
      </c>
      <c r="C26" s="186"/>
      <c r="D26" s="186"/>
      <c r="E26" s="186"/>
      <c r="F26" s="186"/>
      <c r="G26" s="156" t="s">
        <v>103</v>
      </c>
      <c r="H26" s="156"/>
      <c r="I26" s="156"/>
      <c r="J26" s="156"/>
      <c r="K26" s="178" t="e">
        <f>IF(B24="A&lt;6000",1-((1000*(6000-K25))/((6000*K15)-(1000*K3))),"")</f>
        <v>#DIV/0!</v>
      </c>
      <c r="L26" s="178"/>
      <c r="M26" s="178"/>
      <c r="N26" s="178"/>
      <c r="O26" s="178"/>
      <c r="P26" s="178"/>
      <c r="Q26" s="179"/>
      <c r="U26" s="171"/>
      <c r="V26" s="172"/>
      <c r="W26" s="238"/>
      <c r="X26" s="123" t="s">
        <v>100</v>
      </c>
      <c r="Y26" s="123"/>
      <c r="Z26" s="123"/>
      <c r="AA26" s="124"/>
      <c r="AB26" s="143">
        <v>1500</v>
      </c>
      <c r="AC26" s="175"/>
      <c r="AD26" s="200" t="e">
        <f>IF(B24="A≧6000",(AD20/AB26),(AD20*AD37/AB26))</f>
        <v>#DIV/0!</v>
      </c>
      <c r="AE26" s="201"/>
      <c r="AF26" s="201"/>
      <c r="AG26" s="201"/>
      <c r="AH26" s="201"/>
      <c r="AI26" s="201"/>
      <c r="AJ26" s="10" t="s">
        <v>4</v>
      </c>
      <c r="AN26" s="248" t="s">
        <v>57</v>
      </c>
      <c r="AO26" s="194"/>
      <c r="AP26" s="194"/>
      <c r="AQ26" s="189">
        <f>SUM(AQ25:AY25)</f>
        <v>0</v>
      </c>
      <c r="AR26" s="189"/>
      <c r="AS26" s="189"/>
      <c r="AT26" s="189"/>
      <c r="AU26" s="189"/>
      <c r="AV26" s="189"/>
      <c r="AW26" s="189"/>
      <c r="AX26" s="189"/>
      <c r="AY26" s="190"/>
    </row>
    <row r="27" spans="2:57" ht="25.5" customHeight="1" thickBot="1" x14ac:dyDescent="0.2">
      <c r="B27" s="187"/>
      <c r="C27" s="188"/>
      <c r="D27" s="188"/>
      <c r="E27" s="188"/>
      <c r="F27" s="188"/>
      <c r="G27" s="145" t="s">
        <v>110</v>
      </c>
      <c r="H27" s="145"/>
      <c r="I27" s="145"/>
      <c r="J27" s="145"/>
      <c r="K27" s="189" t="e">
        <f>IF(B24="A&lt;6000",1-((6000-K3)/(2*K3)),"")</f>
        <v>#DIV/0!</v>
      </c>
      <c r="L27" s="189"/>
      <c r="M27" s="189"/>
      <c r="N27" s="189"/>
      <c r="O27" s="189"/>
      <c r="P27" s="189"/>
      <c r="Q27" s="190"/>
      <c r="U27" s="171"/>
      <c r="V27" s="172"/>
      <c r="W27" s="238"/>
      <c r="X27" s="123" t="s">
        <v>101</v>
      </c>
      <c r="Y27" s="123"/>
      <c r="Z27" s="123"/>
      <c r="AA27" s="124"/>
      <c r="AB27" s="143">
        <v>4000</v>
      </c>
      <c r="AC27" s="175"/>
      <c r="AD27" s="200" t="e">
        <f>IF(B24="A≧6000",(AD21/AB27),(AD21*AD37/AB27))</f>
        <v>#DIV/0!</v>
      </c>
      <c r="AE27" s="201"/>
      <c r="AF27" s="201"/>
      <c r="AG27" s="201"/>
      <c r="AH27" s="201"/>
      <c r="AI27" s="201"/>
      <c r="AJ27" s="10" t="s">
        <v>4</v>
      </c>
    </row>
    <row r="28" spans="2:57" ht="25.5" customHeight="1" x14ac:dyDescent="0.15">
      <c r="U28" s="171"/>
      <c r="V28" s="172"/>
      <c r="W28" s="238"/>
      <c r="X28" s="202" t="s">
        <v>102</v>
      </c>
      <c r="Y28" s="202"/>
      <c r="Z28" s="202"/>
      <c r="AA28" s="203"/>
      <c r="AB28" s="204">
        <v>100</v>
      </c>
      <c r="AC28" s="205"/>
      <c r="AD28" s="206" t="e">
        <f>IF(B24="A≧6000",(AH22/AB28),(AH22*AD37/AB28))</f>
        <v>#DIV/0!</v>
      </c>
      <c r="AE28" s="207"/>
      <c r="AF28" s="207"/>
      <c r="AG28" s="207"/>
      <c r="AH28" s="207"/>
      <c r="AI28" s="207"/>
      <c r="AJ28" s="40" t="s">
        <v>4</v>
      </c>
      <c r="AK28" s="34"/>
      <c r="AL28" s="34"/>
      <c r="AM28" s="34"/>
    </row>
    <row r="29" spans="2:57" s="34" customFormat="1" ht="25.5" customHeight="1" thickBot="1" x14ac:dyDescent="0.2">
      <c r="U29" s="171"/>
      <c r="V29" s="172"/>
      <c r="W29" s="239"/>
      <c r="X29" s="255" t="s">
        <v>104</v>
      </c>
      <c r="Y29" s="256"/>
      <c r="Z29" s="256"/>
      <c r="AA29" s="256"/>
      <c r="AB29" s="256"/>
      <c r="AC29" s="257"/>
      <c r="AD29" s="258">
        <f>IF(AD17="非対象",0,(ROUNDUP(AD24+AD25+AD26+AD27+AD28,0)))</f>
        <v>0</v>
      </c>
      <c r="AE29" s="259"/>
      <c r="AF29" s="259"/>
      <c r="AG29" s="259"/>
      <c r="AH29" s="259"/>
      <c r="AI29" s="259"/>
      <c r="AJ29" s="42" t="s">
        <v>4</v>
      </c>
    </row>
    <row r="30" spans="2:57" ht="25.5" customHeight="1" x14ac:dyDescent="0.15">
      <c r="U30" s="171"/>
      <c r="V30" s="172"/>
      <c r="W30" s="238" t="s">
        <v>106</v>
      </c>
      <c r="X30" s="126" t="s">
        <v>105</v>
      </c>
      <c r="Y30" s="126"/>
      <c r="Z30" s="126"/>
      <c r="AA30" s="127"/>
      <c r="AB30" s="130">
        <v>5000</v>
      </c>
      <c r="AC30" s="128"/>
      <c r="AD30" s="260" t="e">
        <f>IF(B24="A≧6000",(AD23/AB30),(AD23*AD38/AB30))</f>
        <v>#DIV/0!</v>
      </c>
      <c r="AE30" s="261"/>
      <c r="AF30" s="261"/>
      <c r="AG30" s="261"/>
      <c r="AH30" s="261"/>
      <c r="AI30" s="261"/>
      <c r="AJ30" s="41" t="s">
        <v>4</v>
      </c>
    </row>
    <row r="31" spans="2:57" ht="25.5" customHeight="1" x14ac:dyDescent="0.15">
      <c r="B31" s="128" t="s">
        <v>96</v>
      </c>
      <c r="C31" s="129"/>
      <c r="D31" s="130"/>
      <c r="U31" s="171"/>
      <c r="V31" s="172"/>
      <c r="W31" s="238"/>
      <c r="X31" s="202" t="s">
        <v>102</v>
      </c>
      <c r="Y31" s="202"/>
      <c r="Z31" s="202"/>
      <c r="AA31" s="203"/>
      <c r="AB31" s="204">
        <v>100</v>
      </c>
      <c r="AC31" s="205"/>
      <c r="AD31" s="206" t="e">
        <f>IF(B24="A≧6000",(AH22/AB31),(AH22*AD38/AB31))</f>
        <v>#DIV/0!</v>
      </c>
      <c r="AE31" s="207"/>
      <c r="AF31" s="207"/>
      <c r="AG31" s="207"/>
      <c r="AH31" s="207"/>
      <c r="AI31" s="207"/>
      <c r="AJ31" s="40" t="s">
        <v>4</v>
      </c>
      <c r="AK31" s="34"/>
      <c r="AL31" s="34"/>
      <c r="AM31" s="34"/>
    </row>
    <row r="32" spans="2:57" ht="25.5" customHeight="1" thickBot="1" x14ac:dyDescent="0.2">
      <c r="B32" s="141" t="s">
        <v>68</v>
      </c>
      <c r="C32" s="141"/>
      <c r="D32" s="118" t="str">
        <f>K14</f>
        <v>周辺地区</v>
      </c>
      <c r="E32" s="118"/>
      <c r="F32" s="118"/>
      <c r="G32" s="118"/>
      <c r="H32" s="224"/>
      <c r="I32" s="224"/>
      <c r="J32" s="224"/>
      <c r="U32" s="236"/>
      <c r="V32" s="237"/>
      <c r="W32" s="239"/>
      <c r="X32" s="254" t="s">
        <v>104</v>
      </c>
      <c r="Y32" s="149"/>
      <c r="Z32" s="149"/>
      <c r="AA32" s="149"/>
      <c r="AB32" s="149"/>
      <c r="AC32" s="149"/>
      <c r="AD32" s="146">
        <f>IF(AD17="非対象",0,(ROUNDUP(AD30+AD31,0)))</f>
        <v>0</v>
      </c>
      <c r="AE32" s="147"/>
      <c r="AF32" s="147"/>
      <c r="AG32" s="147"/>
      <c r="AH32" s="147"/>
      <c r="AI32" s="147"/>
      <c r="AJ32" s="43" t="s">
        <v>4</v>
      </c>
      <c r="AP32" s="33"/>
      <c r="AQ32" s="33"/>
      <c r="AR32" s="33"/>
      <c r="AS32" s="32"/>
      <c r="AT32" s="32"/>
      <c r="AU32" s="32"/>
      <c r="AV32" s="32"/>
      <c r="AW32" s="31"/>
      <c r="AX32" s="31"/>
      <c r="AY32" s="30"/>
      <c r="AZ32" s="30"/>
      <c r="BA32" s="30"/>
      <c r="BB32" s="30"/>
      <c r="BC32" s="30"/>
      <c r="BD32" s="30"/>
      <c r="BE32" s="30"/>
    </row>
    <row r="33" spans="2:57" ht="25.5" customHeight="1" x14ac:dyDescent="0.15">
      <c r="B33" s="182" t="s">
        <v>95</v>
      </c>
      <c r="C33" s="182"/>
      <c r="D33" s="182"/>
      <c r="E33" s="182"/>
      <c r="F33" s="182"/>
      <c r="G33" s="182"/>
      <c r="H33" s="182"/>
      <c r="I33" s="182"/>
      <c r="J33" s="182"/>
      <c r="K33" s="118">
        <f>IF(D32="整備地区等",O21,K24)</f>
        <v>0</v>
      </c>
      <c r="L33" s="118"/>
      <c r="M33" s="118"/>
      <c r="N33" s="118"/>
      <c r="O33" s="118"/>
      <c r="P33" s="119"/>
      <c r="Q33" s="35" t="s">
        <v>94</v>
      </c>
      <c r="AP33" s="33"/>
      <c r="AQ33" s="33"/>
      <c r="AR33" s="33"/>
      <c r="AS33" s="32"/>
      <c r="AT33" s="32"/>
      <c r="AU33" s="32"/>
      <c r="AV33" s="32"/>
      <c r="AW33" s="31"/>
      <c r="AX33" s="31"/>
      <c r="AY33" s="30"/>
      <c r="AZ33" s="30"/>
      <c r="BA33" s="30"/>
      <c r="BB33" s="30"/>
      <c r="BC33" s="30"/>
      <c r="BD33" s="30"/>
      <c r="BE33" s="30"/>
    </row>
    <row r="34" spans="2:57" ht="25.5" customHeight="1" x14ac:dyDescent="0.15">
      <c r="B34" s="122" t="s">
        <v>111</v>
      </c>
      <c r="C34" s="123"/>
      <c r="D34" s="123"/>
      <c r="E34" s="123"/>
      <c r="F34" s="123"/>
      <c r="G34" s="123"/>
      <c r="H34" s="123"/>
      <c r="I34" s="123"/>
      <c r="J34" s="124"/>
      <c r="K34" s="118">
        <f>ROUNDUP(K33*0.3,0)-K36</f>
        <v>0</v>
      </c>
      <c r="L34" s="118"/>
      <c r="M34" s="118"/>
      <c r="N34" s="118"/>
      <c r="O34" s="118"/>
      <c r="P34" s="119"/>
      <c r="Q34" s="36" t="s">
        <v>94</v>
      </c>
      <c r="AP34" s="33"/>
      <c r="AQ34" s="33"/>
      <c r="AR34" s="33"/>
      <c r="AS34" s="32"/>
      <c r="AT34" s="32"/>
      <c r="AU34" s="32"/>
      <c r="AV34" s="32"/>
      <c r="AW34" s="31"/>
      <c r="AX34" s="31"/>
      <c r="AY34" s="30"/>
      <c r="AZ34" s="30"/>
      <c r="BA34" s="30"/>
      <c r="BB34" s="30"/>
      <c r="BC34" s="30"/>
      <c r="BD34" s="30"/>
      <c r="BE34" s="30"/>
    </row>
    <row r="35" spans="2:57" ht="25.5" customHeight="1" thickBot="1" x14ac:dyDescent="0.2">
      <c r="B35" s="125" t="s">
        <v>97</v>
      </c>
      <c r="C35" s="126"/>
      <c r="D35" s="126"/>
      <c r="E35" s="126"/>
      <c r="F35" s="126"/>
      <c r="G35" s="126"/>
      <c r="H35" s="126"/>
      <c r="I35" s="126"/>
      <c r="J35" s="127"/>
      <c r="K35" s="120">
        <f>K33-K34-K36</f>
        <v>0</v>
      </c>
      <c r="L35" s="120"/>
      <c r="M35" s="120"/>
      <c r="N35" s="120"/>
      <c r="O35" s="120"/>
      <c r="P35" s="121"/>
      <c r="Q35" s="37" t="s">
        <v>94</v>
      </c>
      <c r="AP35" s="33"/>
      <c r="AQ35" s="33"/>
      <c r="AR35" s="33"/>
      <c r="AS35" s="32"/>
      <c r="AT35" s="32"/>
      <c r="AU35" s="32"/>
      <c r="AV35" s="32"/>
      <c r="AW35" s="31"/>
      <c r="AX35" s="31"/>
      <c r="AY35" s="30"/>
      <c r="AZ35" s="30"/>
      <c r="BA35" s="30"/>
      <c r="BB35" s="30"/>
      <c r="BC35" s="30"/>
      <c r="BD35" s="30"/>
      <c r="BE35" s="30"/>
    </row>
    <row r="36" spans="2:57" ht="25.5" customHeight="1" thickBot="1" x14ac:dyDescent="0.2">
      <c r="B36" s="122" t="s">
        <v>112</v>
      </c>
      <c r="C36" s="123"/>
      <c r="D36" s="123"/>
      <c r="E36" s="123"/>
      <c r="F36" s="123"/>
      <c r="G36" s="123"/>
      <c r="H36" s="123"/>
      <c r="I36" s="123"/>
      <c r="J36" s="124"/>
      <c r="K36" s="118">
        <f>IF(K33&gt;200,(ROUNDUP(K33*0.01,0)+2),(ROUNDUP(K33*0.02,0)))</f>
        <v>0</v>
      </c>
      <c r="L36" s="118"/>
      <c r="M36" s="118"/>
      <c r="N36" s="118"/>
      <c r="O36" s="118"/>
      <c r="P36" s="119"/>
      <c r="Q36" s="36" t="s">
        <v>94</v>
      </c>
      <c r="U36" s="162" t="s">
        <v>113</v>
      </c>
      <c r="V36" s="163"/>
      <c r="W36" s="163"/>
      <c r="X36" s="163"/>
      <c r="Y36" s="163"/>
      <c r="Z36" s="163"/>
      <c r="AA36" s="163"/>
      <c r="AB36" s="163"/>
      <c r="AC36" s="163"/>
      <c r="AD36" s="166">
        <f>IF(B24="A&lt;6000",K3-K9,"")</f>
        <v>0</v>
      </c>
      <c r="AE36" s="167"/>
      <c r="AF36" s="167"/>
      <c r="AG36" s="167"/>
      <c r="AH36" s="167"/>
      <c r="AI36" s="167"/>
      <c r="AJ36" s="11" t="str">
        <f>IF(B24="A&lt;6000","㎡","")</f>
        <v>㎡</v>
      </c>
    </row>
    <row r="37" spans="2:57" ht="25.5" customHeight="1" x14ac:dyDescent="0.15">
      <c r="B37" s="38"/>
      <c r="U37" s="185" t="s">
        <v>114</v>
      </c>
      <c r="V37" s="186"/>
      <c r="W37" s="186"/>
      <c r="X37" s="186"/>
      <c r="Y37" s="186"/>
      <c r="Z37" s="156" t="s">
        <v>115</v>
      </c>
      <c r="AA37" s="156"/>
      <c r="AB37" s="156"/>
      <c r="AC37" s="156"/>
      <c r="AD37" s="178" t="e">
        <f>IF(B24="A&lt;6000",1-((6000-K3)/(2*K3)),"")</f>
        <v>#DIV/0!</v>
      </c>
      <c r="AE37" s="178"/>
      <c r="AF37" s="178"/>
      <c r="AG37" s="178"/>
      <c r="AH37" s="178"/>
      <c r="AI37" s="178"/>
      <c r="AJ37" s="179"/>
    </row>
    <row r="38" spans="2:57" s="19" customFormat="1" ht="25.5" customHeight="1" thickBot="1" x14ac:dyDescent="0.2">
      <c r="B38" s="39"/>
      <c r="U38" s="187"/>
      <c r="V38" s="188"/>
      <c r="W38" s="188"/>
      <c r="X38" s="188"/>
      <c r="Y38" s="188"/>
      <c r="Z38" s="145" t="s">
        <v>116</v>
      </c>
      <c r="AA38" s="145"/>
      <c r="AB38" s="145"/>
      <c r="AC38" s="145"/>
      <c r="AD38" s="189" t="e">
        <f>IF(B24="A&lt;6000",1-((6000-K3)/K3),"")</f>
        <v>#DIV/0!</v>
      </c>
      <c r="AE38" s="189"/>
      <c r="AF38" s="189"/>
      <c r="AG38" s="189"/>
      <c r="AH38" s="189"/>
      <c r="AI38" s="189"/>
      <c r="AJ38" s="190"/>
    </row>
    <row r="39" spans="2:57" ht="25.5" customHeight="1" x14ac:dyDescent="0.15">
      <c r="K39" s="224"/>
      <c r="L39" s="224"/>
      <c r="M39" s="224"/>
      <c r="N39" s="224"/>
      <c r="O39" s="224"/>
      <c r="P39" s="224"/>
      <c r="Q39" s="224"/>
    </row>
    <row r="40" spans="2:57" ht="25.5" customHeight="1" x14ac:dyDescent="0.15"/>
    <row r="41" spans="2:57" ht="25.5" customHeight="1" x14ac:dyDescent="0.15"/>
    <row r="42" spans="2:57" ht="25.5" customHeight="1" x14ac:dyDescent="0.15"/>
    <row r="43" spans="2:57" ht="25.5" customHeight="1" x14ac:dyDescent="0.15"/>
    <row r="44" spans="2:57" ht="25.5" customHeight="1" x14ac:dyDescent="0.15"/>
    <row r="45" spans="2:57" ht="25.5" customHeight="1" x14ac:dyDescent="0.15"/>
    <row r="46" spans="2:57" ht="25.5" customHeight="1" x14ac:dyDescent="0.15"/>
    <row r="47" spans="2:57" ht="25.5" customHeight="1" x14ac:dyDescent="0.15"/>
    <row r="48" spans="2:57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  <row r="66" ht="25.5" customHeight="1" x14ac:dyDescent="0.15"/>
    <row r="67" ht="25.5" customHeight="1" x14ac:dyDescent="0.15"/>
    <row r="68" ht="25.5" customHeight="1" x14ac:dyDescent="0.15"/>
    <row r="69" ht="25.5" customHeight="1" x14ac:dyDescent="0.15"/>
    <row r="70" ht="25.5" customHeight="1" x14ac:dyDescent="0.15"/>
    <row r="71" ht="25.5" customHeight="1" x14ac:dyDescent="0.15"/>
    <row r="72" ht="25.5" customHeight="1" x14ac:dyDescent="0.15"/>
    <row r="73" ht="25.5" customHeight="1" x14ac:dyDescent="0.15"/>
    <row r="74" ht="25.5" customHeight="1" x14ac:dyDescent="0.15"/>
    <row r="75" ht="25.5" customHeight="1" x14ac:dyDescent="0.15"/>
    <row r="76" ht="25.5" customHeight="1" x14ac:dyDescent="0.15"/>
    <row r="77" ht="25.5" customHeight="1" x14ac:dyDescent="0.15"/>
    <row r="78" ht="25.5" customHeight="1" x14ac:dyDescent="0.15"/>
    <row r="79" ht="25.5" customHeight="1" x14ac:dyDescent="0.15"/>
    <row r="80" ht="25.5" customHeight="1" x14ac:dyDescent="0.15"/>
    <row r="81" ht="25.5" customHeight="1" x14ac:dyDescent="0.15"/>
    <row r="82" ht="25.5" customHeight="1" x14ac:dyDescent="0.15"/>
    <row r="83" ht="25.5" customHeight="1" x14ac:dyDescent="0.15"/>
    <row r="84" ht="25.5" customHeight="1" x14ac:dyDescent="0.15"/>
    <row r="85" ht="25.5" customHeight="1" x14ac:dyDescent="0.15"/>
    <row r="86" ht="25.5" customHeight="1" x14ac:dyDescent="0.15"/>
    <row r="87" ht="25.5" customHeight="1" x14ac:dyDescent="0.15"/>
    <row r="88" ht="25.5" customHeight="1" x14ac:dyDescent="0.15"/>
    <row r="89" ht="25.5" customHeight="1" x14ac:dyDescent="0.15"/>
    <row r="90" ht="25.5" customHeight="1" x14ac:dyDescent="0.15"/>
    <row r="91" ht="25.5" customHeight="1" x14ac:dyDescent="0.15"/>
    <row r="92" ht="25.5" customHeight="1" x14ac:dyDescent="0.15"/>
    <row r="93" ht="25.5" customHeight="1" x14ac:dyDescent="0.15"/>
    <row r="94" ht="25.5" customHeight="1" x14ac:dyDescent="0.15"/>
    <row r="95" ht="25.5" customHeight="1" x14ac:dyDescent="0.15"/>
    <row r="96" ht="25.5" customHeight="1" x14ac:dyDescent="0.15"/>
    <row r="97" ht="25.5" customHeight="1" x14ac:dyDescent="0.15"/>
    <row r="98" ht="25.5" customHeight="1" x14ac:dyDescent="0.15"/>
    <row r="99" ht="25.5" customHeight="1" x14ac:dyDescent="0.15"/>
    <row r="100" ht="25.5" customHeight="1" x14ac:dyDescent="0.15"/>
    <row r="101" ht="25.5" customHeight="1" x14ac:dyDescent="0.15"/>
    <row r="102" ht="25.5" customHeight="1" x14ac:dyDescent="0.15"/>
    <row r="103" ht="25.5" customHeight="1" x14ac:dyDescent="0.15"/>
    <row r="104" ht="25.5" customHeight="1" x14ac:dyDescent="0.15"/>
    <row r="105" ht="25.5" customHeight="1" x14ac:dyDescent="0.15"/>
    <row r="106" ht="25.5" customHeight="1" x14ac:dyDescent="0.15"/>
    <row r="107" ht="25.5" customHeight="1" x14ac:dyDescent="0.15"/>
    <row r="108" ht="25.5" customHeight="1" x14ac:dyDescent="0.15"/>
    <row r="109" ht="25.5" customHeight="1" x14ac:dyDescent="0.15"/>
    <row r="110" ht="25.5" customHeight="1" x14ac:dyDescent="0.15"/>
    <row r="111" ht="25.5" customHeight="1" x14ac:dyDescent="0.15"/>
    <row r="112" ht="25.5" customHeight="1" x14ac:dyDescent="0.15"/>
    <row r="113" ht="25.5" customHeight="1" x14ac:dyDescent="0.15"/>
    <row r="114" ht="25.5" customHeight="1" x14ac:dyDescent="0.15"/>
    <row r="115" ht="25.5" customHeight="1" x14ac:dyDescent="0.15"/>
    <row r="116" ht="25.5" customHeight="1" x14ac:dyDescent="0.15"/>
    <row r="117" ht="25.5" customHeight="1" x14ac:dyDescent="0.15"/>
    <row r="118" ht="25.5" customHeight="1" x14ac:dyDescent="0.15"/>
    <row r="119" ht="25.5" customHeight="1" x14ac:dyDescent="0.15"/>
    <row r="120" ht="25.5" customHeight="1" x14ac:dyDescent="0.15"/>
    <row r="121" ht="25.5" customHeight="1" x14ac:dyDescent="0.15"/>
    <row r="122" ht="25.5" customHeight="1" x14ac:dyDescent="0.15"/>
    <row r="123" ht="25.5" customHeight="1" x14ac:dyDescent="0.15"/>
    <row r="124" ht="25.5" customHeight="1" x14ac:dyDescent="0.15"/>
    <row r="125" ht="25.5" customHeight="1" x14ac:dyDescent="0.15"/>
    <row r="126" ht="25.5" customHeight="1" x14ac:dyDescent="0.15"/>
    <row r="127" ht="25.5" customHeight="1" x14ac:dyDescent="0.15"/>
    <row r="128" ht="25.5" customHeight="1" x14ac:dyDescent="0.15"/>
    <row r="129" ht="25.5" customHeight="1" x14ac:dyDescent="0.15"/>
    <row r="130" ht="25.5" customHeight="1" x14ac:dyDescent="0.15"/>
    <row r="131" ht="25.5" customHeight="1" x14ac:dyDescent="0.15"/>
    <row r="132" ht="25.5" customHeight="1" x14ac:dyDescent="0.15"/>
    <row r="133" ht="25.5" customHeight="1" x14ac:dyDescent="0.15"/>
    <row r="134" ht="25.5" customHeight="1" x14ac:dyDescent="0.15"/>
    <row r="135" ht="25.5" customHeight="1" x14ac:dyDescent="0.15"/>
    <row r="136" ht="25.5" customHeight="1" x14ac:dyDescent="0.15"/>
    <row r="137" ht="25.5" customHeight="1" x14ac:dyDescent="0.15"/>
    <row r="138" ht="25.5" customHeight="1" x14ac:dyDescent="0.15"/>
    <row r="139" ht="25.5" customHeight="1" x14ac:dyDescent="0.15"/>
    <row r="140" ht="25.5" customHeight="1" x14ac:dyDescent="0.15"/>
    <row r="141" ht="25.5" customHeight="1" x14ac:dyDescent="0.15"/>
    <row r="142" ht="25.5" customHeight="1" x14ac:dyDescent="0.15"/>
    <row r="143" ht="25.5" customHeight="1" x14ac:dyDescent="0.15"/>
    <row r="144" ht="25.5" customHeight="1" x14ac:dyDescent="0.15"/>
    <row r="145" ht="25.5" customHeight="1" x14ac:dyDescent="0.15"/>
    <row r="146" ht="25.5" customHeight="1" x14ac:dyDescent="0.15"/>
    <row r="147" ht="25.5" customHeight="1" x14ac:dyDescent="0.15"/>
    <row r="148" ht="25.5" customHeight="1" x14ac:dyDescent="0.15"/>
    <row r="149" ht="25.5" customHeight="1" x14ac:dyDescent="0.15"/>
    <row r="150" ht="25.5" customHeight="1" x14ac:dyDescent="0.15"/>
    <row r="151" ht="25.5" customHeight="1" x14ac:dyDescent="0.15"/>
    <row r="152" ht="25.5" customHeight="1" x14ac:dyDescent="0.15"/>
    <row r="153" ht="25.5" customHeight="1" x14ac:dyDescent="0.15"/>
    <row r="154" ht="25.5" customHeight="1" x14ac:dyDescent="0.15"/>
    <row r="155" ht="25.5" customHeight="1" x14ac:dyDescent="0.15"/>
    <row r="156" ht="25.5" customHeight="1" x14ac:dyDescent="0.15"/>
    <row r="157" ht="25.5" customHeight="1" x14ac:dyDescent="0.15"/>
    <row r="158" ht="25.5" customHeight="1" x14ac:dyDescent="0.15"/>
    <row r="159" ht="25.5" customHeight="1" x14ac:dyDescent="0.15"/>
    <row r="160" ht="25.5" customHeight="1" x14ac:dyDescent="0.15"/>
    <row r="161" ht="25.5" customHeight="1" x14ac:dyDescent="0.15"/>
    <row r="162" ht="25.5" customHeight="1" x14ac:dyDescent="0.15"/>
    <row r="163" ht="25.5" customHeight="1" x14ac:dyDescent="0.15"/>
    <row r="164" ht="25.5" customHeight="1" x14ac:dyDescent="0.15"/>
    <row r="165" ht="25.5" customHeight="1" x14ac:dyDescent="0.15"/>
    <row r="166" ht="25.5" customHeight="1" x14ac:dyDescent="0.15"/>
    <row r="167" ht="25.5" customHeight="1" x14ac:dyDescent="0.15"/>
    <row r="168" ht="25.5" customHeight="1" x14ac:dyDescent="0.15"/>
    <row r="169" ht="25.5" customHeight="1" x14ac:dyDescent="0.15"/>
    <row r="170" ht="25.5" customHeight="1" x14ac:dyDescent="0.15"/>
    <row r="171" ht="25.5" customHeight="1" x14ac:dyDescent="0.15"/>
    <row r="172" ht="25.5" customHeight="1" x14ac:dyDescent="0.15"/>
    <row r="173" ht="25.5" customHeight="1" x14ac:dyDescent="0.15"/>
    <row r="174" ht="25.5" customHeight="1" x14ac:dyDescent="0.15"/>
    <row r="175" ht="25.5" customHeight="1" x14ac:dyDescent="0.15"/>
    <row r="176" ht="25.5" customHeight="1" x14ac:dyDescent="0.15"/>
    <row r="177" ht="25.5" customHeight="1" x14ac:dyDescent="0.15"/>
    <row r="178" ht="25.5" customHeight="1" x14ac:dyDescent="0.15"/>
    <row r="179" ht="25.5" customHeight="1" x14ac:dyDescent="0.15"/>
    <row r="180" ht="25.5" customHeight="1" x14ac:dyDescent="0.15"/>
    <row r="181" ht="25.5" customHeight="1" x14ac:dyDescent="0.15"/>
    <row r="182" ht="25.5" customHeight="1" x14ac:dyDescent="0.15"/>
    <row r="183" ht="25.5" customHeight="1" x14ac:dyDescent="0.15"/>
    <row r="184" ht="25.5" customHeight="1" x14ac:dyDescent="0.15"/>
    <row r="185" ht="25.5" customHeight="1" x14ac:dyDescent="0.15"/>
    <row r="186" ht="25.5" customHeight="1" x14ac:dyDescent="0.15"/>
    <row r="187" ht="25.5" customHeight="1" x14ac:dyDescent="0.15"/>
    <row r="188" ht="25.5" customHeight="1" x14ac:dyDescent="0.15"/>
    <row r="189" ht="25.5" customHeight="1" x14ac:dyDescent="0.15"/>
    <row r="190" ht="25.5" customHeight="1" x14ac:dyDescent="0.15"/>
    <row r="191" ht="25.5" customHeight="1" x14ac:dyDescent="0.15"/>
    <row r="192" ht="25.5" customHeight="1" x14ac:dyDescent="0.15"/>
    <row r="193" ht="25.5" customHeight="1" x14ac:dyDescent="0.15"/>
    <row r="194" ht="25.5" customHeight="1" x14ac:dyDescent="0.15"/>
    <row r="195" ht="25.5" customHeight="1" x14ac:dyDescent="0.15"/>
    <row r="196" ht="25.5" customHeight="1" x14ac:dyDescent="0.15"/>
    <row r="197" ht="25.5" customHeight="1" x14ac:dyDescent="0.15"/>
    <row r="198" ht="25.5" customHeight="1" x14ac:dyDescent="0.15"/>
    <row r="199" ht="25.5" customHeight="1" x14ac:dyDescent="0.15"/>
    <row r="200" ht="25.5" customHeight="1" x14ac:dyDescent="0.15"/>
  </sheetData>
  <mergeCells count="181">
    <mergeCell ref="AN24:AP24"/>
    <mergeCell ref="AQ24:AS24"/>
    <mergeCell ref="AT24:AV24"/>
    <mergeCell ref="AN22:AP22"/>
    <mergeCell ref="AD23:AI23"/>
    <mergeCell ref="AD24:AI24"/>
    <mergeCell ref="AW24:AY24"/>
    <mergeCell ref="X32:AC32"/>
    <mergeCell ref="AD32:AI32"/>
    <mergeCell ref="X29:AC29"/>
    <mergeCell ref="AD29:AI29"/>
    <mergeCell ref="X30:AA30"/>
    <mergeCell ref="AB30:AC30"/>
    <mergeCell ref="AD30:AI30"/>
    <mergeCell ref="X31:AA31"/>
    <mergeCell ref="AB31:AC31"/>
    <mergeCell ref="AD31:AI31"/>
    <mergeCell ref="X24:AA24"/>
    <mergeCell ref="AB24:AC24"/>
    <mergeCell ref="AN25:AP25"/>
    <mergeCell ref="AQ25:AS25"/>
    <mergeCell ref="AT25:AV25"/>
    <mergeCell ref="AW25:AY25"/>
    <mergeCell ref="AN26:AP26"/>
    <mergeCell ref="AQ26:AY26"/>
    <mergeCell ref="AZ14:BB14"/>
    <mergeCell ref="AZ15:BB15"/>
    <mergeCell ref="AZ16:BB16"/>
    <mergeCell ref="AZ17:BB17"/>
    <mergeCell ref="AQ18:BB18"/>
    <mergeCell ref="AN15:AP15"/>
    <mergeCell ref="AQ15:AS15"/>
    <mergeCell ref="AT15:AV15"/>
    <mergeCell ref="AW15:AY15"/>
    <mergeCell ref="AN17:AP17"/>
    <mergeCell ref="AQ17:AS17"/>
    <mergeCell ref="AT17:AV17"/>
    <mergeCell ref="AN18:AP18"/>
    <mergeCell ref="AW17:AY17"/>
    <mergeCell ref="AN16:AP16"/>
    <mergeCell ref="AQ16:AS16"/>
    <mergeCell ref="AT16:AV16"/>
    <mergeCell ref="AN14:AP14"/>
    <mergeCell ref="AT23:AV23"/>
    <mergeCell ref="AW23:AY23"/>
    <mergeCell ref="AN23:AP23"/>
    <mergeCell ref="AQ14:AS14"/>
    <mergeCell ref="AT14:AV14"/>
    <mergeCell ref="R6:W6"/>
    <mergeCell ref="B33:J33"/>
    <mergeCell ref="K39:Q39"/>
    <mergeCell ref="X6:Z6"/>
    <mergeCell ref="X10:Z10"/>
    <mergeCell ref="B32:C32"/>
    <mergeCell ref="D32:G32"/>
    <mergeCell ref="H32:J32"/>
    <mergeCell ref="O6:Q6"/>
    <mergeCell ref="K21:M21"/>
    <mergeCell ref="K22:M22"/>
    <mergeCell ref="K23:M23"/>
    <mergeCell ref="O21:P23"/>
    <mergeCell ref="U36:AC36"/>
    <mergeCell ref="U17:AC17"/>
    <mergeCell ref="R10:W10"/>
    <mergeCell ref="U14:AC14"/>
    <mergeCell ref="E22:H22"/>
    <mergeCell ref="X22:AC22"/>
    <mergeCell ref="U24:V32"/>
    <mergeCell ref="W30:W32"/>
    <mergeCell ref="W24:W29"/>
    <mergeCell ref="I24:J24"/>
    <mergeCell ref="E21:H21"/>
    <mergeCell ref="Z37:AC37"/>
    <mergeCell ref="AD14:AJ14"/>
    <mergeCell ref="U15:AC15"/>
    <mergeCell ref="U16:AC16"/>
    <mergeCell ref="X18:AC18"/>
    <mergeCell ref="AD18:AI18"/>
    <mergeCell ref="X19:AC19"/>
    <mergeCell ref="AD19:AI19"/>
    <mergeCell ref="X20:AC20"/>
    <mergeCell ref="AD20:AI20"/>
    <mergeCell ref="AD17:AJ17"/>
    <mergeCell ref="U18:W23"/>
    <mergeCell ref="X23:AC23"/>
    <mergeCell ref="B24:D24"/>
    <mergeCell ref="AW14:AY14"/>
    <mergeCell ref="AW16:AY16"/>
    <mergeCell ref="AW22:AY22"/>
    <mergeCell ref="AQ23:AS23"/>
    <mergeCell ref="AQ22:AS22"/>
    <mergeCell ref="AT22:AV22"/>
    <mergeCell ref="Z38:AC38"/>
    <mergeCell ref="AD38:AJ38"/>
    <mergeCell ref="X27:AA27"/>
    <mergeCell ref="AB27:AC27"/>
    <mergeCell ref="AD27:AI27"/>
    <mergeCell ref="AD15:AI15"/>
    <mergeCell ref="AD16:AI16"/>
    <mergeCell ref="X28:AA28"/>
    <mergeCell ref="AB28:AC28"/>
    <mergeCell ref="AD28:AI28"/>
    <mergeCell ref="X25:AA25"/>
    <mergeCell ref="X26:AA26"/>
    <mergeCell ref="AB25:AC25"/>
    <mergeCell ref="AD25:AI25"/>
    <mergeCell ref="AB26:AC26"/>
    <mergeCell ref="AD26:AI26"/>
    <mergeCell ref="AD36:AI36"/>
    <mergeCell ref="B4:J4"/>
    <mergeCell ref="K4:M4"/>
    <mergeCell ref="O4:Q4"/>
    <mergeCell ref="B13:Q13"/>
    <mergeCell ref="D5:J5"/>
    <mergeCell ref="AD37:AJ37"/>
    <mergeCell ref="AH22:AI22"/>
    <mergeCell ref="AD22:AF22"/>
    <mergeCell ref="X21:AC21"/>
    <mergeCell ref="AD21:AI21"/>
    <mergeCell ref="B16:J16"/>
    <mergeCell ref="K16:Q16"/>
    <mergeCell ref="B15:J15"/>
    <mergeCell ref="K15:P15"/>
    <mergeCell ref="B26:F27"/>
    <mergeCell ref="K26:Q26"/>
    <mergeCell ref="K27:Q27"/>
    <mergeCell ref="Q21:Q23"/>
    <mergeCell ref="U37:Y38"/>
    <mergeCell ref="I22:J22"/>
    <mergeCell ref="I23:J23"/>
    <mergeCell ref="E23:H23"/>
    <mergeCell ref="E24:H24"/>
    <mergeCell ref="I21:J21"/>
    <mergeCell ref="G27:J27"/>
    <mergeCell ref="D6:J6"/>
    <mergeCell ref="D7:J7"/>
    <mergeCell ref="D10:J10"/>
    <mergeCell ref="O5:P5"/>
    <mergeCell ref="O7:P7"/>
    <mergeCell ref="B17:D20"/>
    <mergeCell ref="E20:J20"/>
    <mergeCell ref="K17:P17"/>
    <mergeCell ref="K18:P18"/>
    <mergeCell ref="K19:P19"/>
    <mergeCell ref="K20:P20"/>
    <mergeCell ref="E17:J17"/>
    <mergeCell ref="E18:J18"/>
    <mergeCell ref="E19:J19"/>
    <mergeCell ref="B5:B11"/>
    <mergeCell ref="G26:J26"/>
    <mergeCell ref="K10:M10"/>
    <mergeCell ref="K8:M8"/>
    <mergeCell ref="B14:J14"/>
    <mergeCell ref="B25:J25"/>
    <mergeCell ref="K24:P24"/>
    <mergeCell ref="K25:P25"/>
    <mergeCell ref="B21:D23"/>
    <mergeCell ref="K36:P36"/>
    <mergeCell ref="K33:P33"/>
    <mergeCell ref="K34:P34"/>
    <mergeCell ref="K35:P35"/>
    <mergeCell ref="B34:J34"/>
    <mergeCell ref="B35:J35"/>
    <mergeCell ref="B36:J36"/>
    <mergeCell ref="B31:D31"/>
    <mergeCell ref="B3:J3"/>
    <mergeCell ref="K3:M3"/>
    <mergeCell ref="O3:Q3"/>
    <mergeCell ref="K14:Q14"/>
    <mergeCell ref="D9:J9"/>
    <mergeCell ref="K9:M9"/>
    <mergeCell ref="O9:P9"/>
    <mergeCell ref="O10:P10"/>
    <mergeCell ref="O8:P8"/>
    <mergeCell ref="D11:J11"/>
    <mergeCell ref="K11:M11"/>
    <mergeCell ref="O11:P11"/>
    <mergeCell ref="D8:J8"/>
    <mergeCell ref="K5:M5"/>
    <mergeCell ref="K6:M6"/>
    <mergeCell ref="K7:M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算定シート</vt:lpstr>
      <vt:lpstr>計算シート（非表示）</vt:lpstr>
      <vt:lpstr>算定シート!Print_Area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oa208054</dc:creator>
  <cp:lastModifiedBy>西山　建吾</cp:lastModifiedBy>
  <cp:lastPrinted>2026-04-07T06:14:10Z</cp:lastPrinted>
  <dcterms:created xsi:type="dcterms:W3CDTF">2006-09-01T04:38:21Z</dcterms:created>
  <dcterms:modified xsi:type="dcterms:W3CDTF">2026-04-17T00:02:00Z</dcterms:modified>
</cp:coreProperties>
</file>