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78"/>
  </bookViews>
  <sheets>
    <sheet name="計画図面（提出用）" sheetId="8" r:id="rId1"/>
    <sheet name="実施図面" sheetId="11" r:id="rId2"/>
    <sheet name="竣工届" sheetId="6" r:id="rId3"/>
    <sheet name="請求書　工事請負・委託等" sheetId="7" r:id="rId4"/>
  </sheets>
  <externalReferences>
    <externalReference r:id="rId5"/>
  </externalReferences>
  <definedNames>
    <definedName name="Colins登録費" localSheetId="3">#REF!</definedName>
    <definedName name="_xlnm.Print_Area" localSheetId="0">'計画図面（提出用）'!$A$1:$BW$65</definedName>
    <definedName name="_xlnm.Print_Area" localSheetId="1">実施図面!$A$1:$BW$65</definedName>
    <definedName name="_xlnm.Print_Area" localSheetId="2">竣工届!$A$1:$AI$53</definedName>
    <definedName name="_xlnm.Print_Area" localSheetId="3">'請求書　工事請負・委託等'!$A$1:$AE$51</definedName>
    <definedName name="一般管理費１" localSheetId="3">#REF!</definedName>
    <definedName name="一般管理費２" localSheetId="3">#REF!</definedName>
    <definedName name="共通仮設費" localSheetId="3">#REF!</definedName>
    <definedName name="共通費１" localSheetId="3">#REF!</definedName>
    <definedName name="共通費２" localSheetId="3">#REF!</definedName>
    <definedName name="決済2">INDIRECT([1]内訳書!$N$7)</definedName>
    <definedName name="現場経費" localSheetId="3">#REF!</definedName>
    <definedName name="合計１" localSheetId="3">#REF!</definedName>
    <definedName name="合計２" localSheetId="3">#REF!</definedName>
    <definedName name="申請費計" localSheetId="3">#REF!</definedName>
    <definedName name="西部">#REF!</definedName>
    <definedName name="単位" localSheetId="3">#REF!</definedName>
    <definedName name="単価" localSheetId="3">#REF!</definedName>
    <definedName name="直接工事費" localSheetId="3">#REF!</definedName>
    <definedName name="摘要" localSheetId="3">#REF!</definedName>
    <definedName name="南部">#REF!</definedName>
    <definedName name="備考" localSheetId="3">#REF!</definedName>
    <definedName name="北部">#REF!</definedName>
    <definedName name="名称" localSheetId="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" i="11" l="1"/>
  <c r="E112" i="11" l="1"/>
  <c r="E111" i="11"/>
  <c r="E110" i="11"/>
  <c r="E109" i="11"/>
  <c r="E108" i="11"/>
  <c r="A106" i="11"/>
  <c r="AF94" i="11"/>
  <c r="AE94" i="11"/>
  <c r="AF92" i="11"/>
  <c r="AE92" i="11"/>
  <c r="AF91" i="11"/>
  <c r="AD91" i="11"/>
  <c r="T89" i="11"/>
  <c r="T88" i="11"/>
  <c r="T87" i="11"/>
  <c r="AH86" i="11"/>
  <c r="T86" i="11"/>
  <c r="AH85" i="11"/>
  <c r="T85" i="11"/>
  <c r="AH84" i="11"/>
  <c r="T84" i="11"/>
  <c r="AH83" i="11"/>
  <c r="T83" i="11"/>
  <c r="T82" i="11"/>
  <c r="T81" i="11"/>
  <c r="AH80" i="11"/>
  <c r="T80" i="11"/>
  <c r="AH79" i="11"/>
  <c r="T79" i="11"/>
  <c r="AH78" i="11"/>
  <c r="T78" i="11"/>
  <c r="AH77" i="11"/>
  <c r="T77" i="11"/>
  <c r="AH73" i="11"/>
  <c r="AH72" i="11"/>
  <c r="E72" i="11"/>
  <c r="AH70" i="11"/>
  <c r="F70" i="11"/>
  <c r="E70" i="11"/>
  <c r="F69" i="11"/>
  <c r="E69" i="11"/>
  <c r="AA68" i="11"/>
  <c r="AH87" i="11" s="1"/>
  <c r="F68" i="11"/>
  <c r="F71" i="11" s="1"/>
  <c r="E68" i="11"/>
  <c r="AA57" i="11"/>
  <c r="G50" i="11"/>
  <c r="C43" i="11"/>
  <c r="AZ25" i="11" s="1"/>
  <c r="T39" i="11"/>
  <c r="I37" i="11"/>
  <c r="L55" i="11" s="1"/>
  <c r="F37" i="11"/>
  <c r="BZ18" i="11" s="1"/>
  <c r="BZ36" i="11"/>
  <c r="CC36" i="11" s="1"/>
  <c r="BZ35" i="11"/>
  <c r="BZ31" i="11"/>
  <c r="AZ31" i="11"/>
  <c r="BD30" i="11"/>
  <c r="P26" i="11"/>
  <c r="BZ25" i="11"/>
  <c r="R12" i="11"/>
  <c r="R35" i="11" s="1"/>
  <c r="N37" i="11" s="1"/>
  <c r="O10" i="11"/>
  <c r="BZ9" i="11"/>
  <c r="BZ10" i="11" s="1"/>
  <c r="AZ9" i="11"/>
  <c r="BZ8" i="11"/>
  <c r="AX7" i="11"/>
  <c r="AF3" i="11"/>
  <c r="O71" i="11" l="1"/>
  <c r="AG63" i="11" s="1"/>
  <c r="K70" i="11"/>
  <c r="AC62" i="11" s="1"/>
  <c r="T72" i="11"/>
  <c r="O72" i="11"/>
  <c r="P62" i="11" s="1"/>
  <c r="O69" i="11"/>
  <c r="AG61" i="11" s="1"/>
  <c r="K72" i="11"/>
  <c r="L62" i="11" s="1"/>
  <c r="K69" i="11"/>
  <c r="AC61" i="11" s="1"/>
  <c r="AZ33" i="11"/>
  <c r="K71" i="11"/>
  <c r="AC63" i="11" s="1"/>
  <c r="O70" i="11"/>
  <c r="AG62" i="11" s="1"/>
  <c r="T73" i="11"/>
  <c r="O68" i="11"/>
  <c r="O73" i="11"/>
  <c r="P63" i="11" s="1"/>
  <c r="K73" i="11"/>
  <c r="K74" i="11"/>
  <c r="K68" i="11"/>
  <c r="L61" i="11" s="1"/>
  <c r="AZ18" i="11"/>
  <c r="BZ11" i="11"/>
  <c r="AZ11" i="11"/>
  <c r="BZ39" i="11"/>
  <c r="BZ19" i="11"/>
  <c r="AZ19" i="11"/>
  <c r="E107" i="11"/>
  <c r="M44" i="11"/>
  <c r="P61" i="11"/>
  <c r="AH71" i="11"/>
  <c r="AH88" i="11" s="1"/>
  <c r="Z68" i="11" s="1"/>
  <c r="AE68" i="11" s="1"/>
  <c r="AB51" i="11" s="1"/>
  <c r="AH75" i="11"/>
  <c r="BZ34" i="11"/>
  <c r="AZ10" i="11"/>
  <c r="AC12" i="11"/>
  <c r="AH76" i="11"/>
  <c r="AH82" i="11"/>
  <c r="AZ8" i="11"/>
  <c r="BZ14" i="11"/>
  <c r="AZ14" i="11" s="1"/>
  <c r="AH74" i="11"/>
  <c r="AH81" i="11"/>
  <c r="E112" i="8"/>
  <c r="E111" i="8"/>
  <c r="E110" i="8"/>
  <c r="E109" i="8"/>
  <c r="E108" i="8"/>
  <c r="A106" i="8"/>
  <c r="AF94" i="8"/>
  <c r="AE94" i="8"/>
  <c r="AF92" i="8"/>
  <c r="AE92" i="8"/>
  <c r="AF91" i="8"/>
  <c r="AD91" i="8"/>
  <c r="T89" i="8"/>
  <c r="T88" i="8"/>
  <c r="T87" i="8"/>
  <c r="T86" i="8"/>
  <c r="T85" i="8"/>
  <c r="T84" i="8"/>
  <c r="T83" i="8"/>
  <c r="T82" i="8"/>
  <c r="T81" i="8"/>
  <c r="T80" i="8"/>
  <c r="T79" i="8"/>
  <c r="T78" i="8"/>
  <c r="T77" i="8"/>
  <c r="E72" i="8"/>
  <c r="F70" i="8"/>
  <c r="E70" i="8"/>
  <c r="F69" i="8"/>
  <c r="E69" i="8"/>
  <c r="AA68" i="8"/>
  <c r="AH87" i="8" s="1"/>
  <c r="F68" i="8"/>
  <c r="P61" i="8" s="1"/>
  <c r="E68" i="8"/>
  <c r="AA57" i="8"/>
  <c r="G50" i="8"/>
  <c r="C43" i="8"/>
  <c r="T39" i="8"/>
  <c r="AX7" i="8" s="1"/>
  <c r="I37" i="8"/>
  <c r="F37" i="8"/>
  <c r="BZ18" i="8" s="1"/>
  <c r="BZ31" i="8"/>
  <c r="AZ31" i="8" s="1"/>
  <c r="BD30" i="8"/>
  <c r="P26" i="8"/>
  <c r="R12" i="8"/>
  <c r="BZ36" i="8" s="1"/>
  <c r="CC36" i="8" s="1"/>
  <c r="O10" i="8"/>
  <c r="AF3" i="8"/>
  <c r="L64" i="11" l="1"/>
  <c r="AH38" i="11" s="1"/>
  <c r="C106" i="11"/>
  <c r="BZ15" i="11"/>
  <c r="AZ15" i="11"/>
  <c r="AD93" i="11"/>
  <c r="AC35" i="11"/>
  <c r="AF93" i="11"/>
  <c r="AF95" i="11" s="1"/>
  <c r="AZ35" i="11"/>
  <c r="AZ36" i="11"/>
  <c r="AZ34" i="11"/>
  <c r="CB17" i="11"/>
  <c r="AD45" i="11"/>
  <c r="Y51" i="11"/>
  <c r="F71" i="8"/>
  <c r="O71" i="8" s="1"/>
  <c r="AG63" i="8" s="1"/>
  <c r="AH70" i="8"/>
  <c r="AH86" i="8"/>
  <c r="AH73" i="8"/>
  <c r="BZ8" i="8"/>
  <c r="AZ8" i="8" s="1"/>
  <c r="AH80" i="8"/>
  <c r="BZ25" i="8"/>
  <c r="AZ25" i="8" s="1"/>
  <c r="R35" i="8"/>
  <c r="N37" i="8" s="1"/>
  <c r="BZ39" i="8" s="1"/>
  <c r="BZ35" i="8"/>
  <c r="AZ18" i="8"/>
  <c r="AH75" i="8"/>
  <c r="AH82" i="8"/>
  <c r="AC12" i="8"/>
  <c r="AH77" i="8"/>
  <c r="AH83" i="8"/>
  <c r="AH71" i="8"/>
  <c r="AH76" i="8"/>
  <c r="BZ14" i="8"/>
  <c r="AZ14" i="8" s="1"/>
  <c r="BZ34" i="8"/>
  <c r="AZ36" i="8" s="1"/>
  <c r="AH72" i="8"/>
  <c r="AH78" i="8"/>
  <c r="AH84" i="8"/>
  <c r="BZ9" i="8"/>
  <c r="AZ9" i="8" s="1"/>
  <c r="AH79" i="8"/>
  <c r="AH85" i="8"/>
  <c r="AH74" i="8"/>
  <c r="AH81" i="8"/>
  <c r="BZ22" i="11" l="1"/>
  <c r="K74" i="8"/>
  <c r="K72" i="8"/>
  <c r="L62" i="8" s="1"/>
  <c r="K69" i="8"/>
  <c r="AC61" i="8" s="1"/>
  <c r="AZ33" i="8"/>
  <c r="T72" i="8"/>
  <c r="K112" i="11"/>
  <c r="K109" i="11"/>
  <c r="G111" i="11"/>
  <c r="K110" i="11"/>
  <c r="K107" i="11"/>
  <c r="G110" i="11"/>
  <c r="G107" i="11"/>
  <c r="G112" i="11"/>
  <c r="K111" i="11"/>
  <c r="K108" i="11"/>
  <c r="P50" i="11"/>
  <c r="CB20" i="11" s="1"/>
  <c r="BZ23" i="11" s="1"/>
  <c r="G109" i="11"/>
  <c r="BZ40" i="11"/>
  <c r="G108" i="11"/>
  <c r="BZ16" i="11"/>
  <c r="A111" i="11"/>
  <c r="A108" i="11"/>
  <c r="A112" i="11"/>
  <c r="A109" i="11"/>
  <c r="A110" i="11"/>
  <c r="A107" i="11"/>
  <c r="C105" i="11" s="1"/>
  <c r="AZ39" i="11" s="1"/>
  <c r="AH60" i="11"/>
  <c r="BZ50" i="11"/>
  <c r="BZ52" i="11"/>
  <c r="BZ51" i="11"/>
  <c r="BZ54" i="11"/>
  <c r="BZ47" i="11"/>
  <c r="BZ53" i="11"/>
  <c r="BZ46" i="11"/>
  <c r="K68" i="8"/>
  <c r="L61" i="8" s="1"/>
  <c r="K71" i="8"/>
  <c r="AC63" i="8" s="1"/>
  <c r="K73" i="8"/>
  <c r="O70" i="8"/>
  <c r="AG62" i="8" s="1"/>
  <c r="K70" i="8"/>
  <c r="AC62" i="8" s="1"/>
  <c r="O72" i="8"/>
  <c r="P62" i="8" s="1"/>
  <c r="O68" i="8"/>
  <c r="O69" i="8"/>
  <c r="AG61" i="8" s="1"/>
  <c r="O73" i="8"/>
  <c r="P63" i="8" s="1"/>
  <c r="T73" i="8"/>
  <c r="M44" i="8"/>
  <c r="C106" i="8" s="1"/>
  <c r="BZ19" i="8"/>
  <c r="AZ19" i="8" s="1"/>
  <c r="L55" i="8"/>
  <c r="E107" i="8"/>
  <c r="AZ34" i="8"/>
  <c r="AH88" i="8"/>
  <c r="Z68" i="8" s="1"/>
  <c r="AE68" i="8" s="1"/>
  <c r="AB51" i="8" s="1"/>
  <c r="AD45" i="8" s="1"/>
  <c r="AZ35" i="8"/>
  <c r="BZ10" i="8"/>
  <c r="AZ10" i="8" s="1"/>
  <c r="AF93" i="8"/>
  <c r="AF95" i="8" s="1"/>
  <c r="AD93" i="8"/>
  <c r="AC35" i="8"/>
  <c r="BZ24" i="11" l="1"/>
  <c r="AZ24" i="11" s="1"/>
  <c r="AZ17" i="11"/>
  <c r="AZ22" i="11"/>
  <c r="AZ23" i="11"/>
  <c r="BZ17" i="11"/>
  <c r="O55" i="11"/>
  <c r="T48" i="11" s="1"/>
  <c r="CB21" i="11" s="1"/>
  <c r="BZ21" i="11" s="1"/>
  <c r="I105" i="11"/>
  <c r="AZ40" i="11" s="1"/>
  <c r="AZ16" i="11"/>
  <c r="L64" i="8"/>
  <c r="AH38" i="8" s="1"/>
  <c r="BZ20" i="11"/>
  <c r="AZ20" i="11" s="1"/>
  <c r="BZ26" i="11"/>
  <c r="AZ26" i="11"/>
  <c r="BZ15" i="8"/>
  <c r="AZ15" i="8" s="1"/>
  <c r="CB17" i="8"/>
  <c r="Y51" i="8"/>
  <c r="BZ54" i="8"/>
  <c r="BZ52" i="8"/>
  <c r="BZ51" i="8"/>
  <c r="BZ50" i="8"/>
  <c r="AH60" i="8"/>
  <c r="BZ47" i="8"/>
  <c r="BZ53" i="8"/>
  <c r="BZ46" i="8"/>
  <c r="K112" i="8"/>
  <c r="K109" i="8"/>
  <c r="BZ40" i="8"/>
  <c r="K111" i="8"/>
  <c r="K108" i="8"/>
  <c r="G111" i="8"/>
  <c r="G108" i="8"/>
  <c r="P50" i="8"/>
  <c r="O55" i="8" s="1"/>
  <c r="G112" i="8"/>
  <c r="G109" i="8"/>
  <c r="K110" i="8"/>
  <c r="K107" i="8"/>
  <c r="G110" i="8"/>
  <c r="G107" i="8"/>
  <c r="BZ16" i="8"/>
  <c r="BZ11" i="8"/>
  <c r="AZ11" i="8" s="1"/>
  <c r="A112" i="8"/>
  <c r="A109" i="8"/>
  <c r="A111" i="8"/>
  <c r="A108" i="8"/>
  <c r="A107" i="8"/>
  <c r="C105" i="8" s="1"/>
  <c r="AZ39" i="8" s="1"/>
  <c r="A110" i="8"/>
  <c r="R55" i="11" l="1"/>
  <c r="AZ29" i="11" s="1"/>
  <c r="BZ22" i="8"/>
  <c r="AZ22" i="8" s="1"/>
  <c r="BZ17" i="8"/>
  <c r="AZ21" i="11"/>
  <c r="CB20" i="8"/>
  <c r="BZ23" i="8" s="1"/>
  <c r="AZ23" i="8" s="1"/>
  <c r="I105" i="8"/>
  <c r="AZ40" i="8" s="1"/>
  <c r="BZ26" i="8"/>
  <c r="AZ26" i="8" s="1"/>
  <c r="AZ16" i="8"/>
  <c r="AZ17" i="8"/>
  <c r="T48" i="8"/>
  <c r="CB21" i="8" s="1"/>
  <c r="R55" i="8"/>
  <c r="AZ29" i="8" s="1"/>
  <c r="BZ24" i="8" l="1"/>
  <c r="AZ24" i="8" s="1"/>
  <c r="BZ20" i="8"/>
  <c r="AZ20" i="8" s="1"/>
  <c r="BZ21" i="8" l="1"/>
  <c r="AZ21" i="8" s="1"/>
</calcChain>
</file>

<file path=xl/sharedStrings.xml><?xml version="1.0" encoding="utf-8"?>
<sst xmlns="http://schemas.openxmlformats.org/spreadsheetml/2006/main" count="907" uniqueCount="281">
  <si>
    <t>受注業者</t>
    <rPh sb="0" eb="2">
      <t>ジュチュウ</t>
    </rPh>
    <rPh sb="2" eb="4">
      <t>ギョウシャ</t>
    </rPh>
    <phoneticPr fontId="1"/>
  </si>
  <si>
    <t>業務名</t>
    <rPh sb="0" eb="2">
      <t>ギョウム</t>
    </rPh>
    <rPh sb="2" eb="3">
      <t>メイ</t>
    </rPh>
    <phoneticPr fontId="1"/>
  </si>
  <si>
    <t>業務箇所</t>
    <rPh sb="0" eb="2">
      <t>ギョウム</t>
    </rPh>
    <rPh sb="2" eb="4">
      <t>カショ</t>
    </rPh>
    <phoneticPr fontId="1"/>
  </si>
  <si>
    <t>履行期間</t>
    <rPh sb="0" eb="2">
      <t>リコウ</t>
    </rPh>
    <rPh sb="2" eb="4">
      <t>キカン</t>
    </rPh>
    <phoneticPr fontId="1"/>
  </si>
  <si>
    <t>様式第20号（第48条関係）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4"/>
  </si>
  <si>
    <t>（その２）</t>
  </si>
  <si>
    <t>　</t>
  </si>
  <si>
    <t>令和</t>
  </si>
  <si>
    <t>年</t>
    <rPh sb="0" eb="1">
      <t>ネン</t>
    </rPh>
    <phoneticPr fontId="4"/>
  </si>
  <si>
    <t xml:space="preserve"> 月</t>
    <rPh sb="1" eb="2">
      <t>ツキ</t>
    </rPh>
    <phoneticPr fontId="4"/>
  </si>
  <si>
    <t>日</t>
    <rPh sb="0" eb="1">
      <t>ヒ</t>
    </rPh>
    <phoneticPr fontId="4"/>
  </si>
  <si>
    <t>竣　　工　　届</t>
    <rPh sb="0" eb="1">
      <t>シュン</t>
    </rPh>
    <rPh sb="3" eb="4">
      <t>コウ</t>
    </rPh>
    <rPh sb="6" eb="7">
      <t>トドケ</t>
    </rPh>
    <phoneticPr fontId="4"/>
  </si>
  <si>
    <t>宛</t>
    <rPh sb="0" eb="1">
      <t>アテ</t>
    </rPh>
    <phoneticPr fontId="4"/>
  </si>
  <si>
    <t>受注者</t>
    <rPh sb="0" eb="3">
      <t>ジュチュウシャ</t>
    </rPh>
    <phoneticPr fontId="4"/>
  </si>
  <si>
    <t>住　所</t>
    <rPh sb="0" eb="1">
      <t>ジュウ</t>
    </rPh>
    <rPh sb="2" eb="3">
      <t>ショ</t>
    </rPh>
    <phoneticPr fontId="4"/>
  </si>
  <si>
    <t>氏　名</t>
    <rPh sb="0" eb="1">
      <t>シ</t>
    </rPh>
    <rPh sb="2" eb="3">
      <t>メイ</t>
    </rPh>
    <phoneticPr fontId="4"/>
  </si>
  <si>
    <t>印</t>
    <rPh sb="0" eb="1">
      <t>イン</t>
    </rPh>
    <phoneticPr fontId="4"/>
  </si>
  <si>
    <t>下記工事が　令和　　　年　　　月　　　日竣工しました。</t>
    <rPh sb="0" eb="2">
      <t>カキ</t>
    </rPh>
    <rPh sb="2" eb="4">
      <t>コウジ</t>
    </rPh>
    <rPh sb="11" eb="12">
      <t>ネン</t>
    </rPh>
    <rPh sb="15" eb="16">
      <t>ツキ</t>
    </rPh>
    <rPh sb="19" eb="20">
      <t>ヒ</t>
    </rPh>
    <rPh sb="20" eb="22">
      <t>シュンコウ</t>
    </rPh>
    <phoneticPr fontId="4"/>
  </si>
  <si>
    <t>記</t>
    <rPh sb="0" eb="1">
      <t>キ</t>
    </rPh>
    <phoneticPr fontId="4"/>
  </si>
  <si>
    <t>工事名</t>
    <rPh sb="0" eb="3">
      <t>コウジメイ</t>
    </rPh>
    <phoneticPr fontId="4"/>
  </si>
  <si>
    <t>工事場所</t>
    <rPh sb="0" eb="2">
      <t>コウジ</t>
    </rPh>
    <rPh sb="2" eb="4">
      <t>バショ</t>
    </rPh>
    <phoneticPr fontId="4"/>
  </si>
  <si>
    <t>請負代金額</t>
    <rPh sb="0" eb="2">
      <t>ウケオイ</t>
    </rPh>
    <rPh sb="2" eb="3">
      <t>ダイ</t>
    </rPh>
    <rPh sb="3" eb="5">
      <t>キンガク</t>
    </rPh>
    <phoneticPr fontId="4"/>
  </si>
  <si>
    <t>工期限</t>
    <rPh sb="0" eb="3">
      <t>コウキゲン</t>
    </rPh>
    <phoneticPr fontId="4"/>
  </si>
  <si>
    <t>月</t>
    <rPh sb="0" eb="1">
      <t>ツキ</t>
    </rPh>
    <phoneticPr fontId="4"/>
  </si>
  <si>
    <t>竣工確認</t>
    <rPh sb="0" eb="2">
      <t>シュンコウ</t>
    </rPh>
    <rPh sb="2" eb="4">
      <t>カクニン</t>
    </rPh>
    <phoneticPr fontId="4"/>
  </si>
  <si>
    <t xml:space="preserve">印 </t>
    <rPh sb="0" eb="1">
      <t>イン</t>
    </rPh>
    <phoneticPr fontId="4"/>
  </si>
  <si>
    <t>検　査　下　命</t>
    <rPh sb="0" eb="1">
      <t>ケン</t>
    </rPh>
    <rPh sb="2" eb="3">
      <t>サ</t>
    </rPh>
    <rPh sb="4" eb="5">
      <t>シタ</t>
    </rPh>
    <rPh sb="6" eb="7">
      <t>イノチ</t>
    </rPh>
    <phoneticPr fontId="4"/>
  </si>
  <si>
    <t xml:space="preserve"> 主 務</t>
    <rPh sb="1" eb="2">
      <t>シュ</t>
    </rPh>
    <rPh sb="3" eb="4">
      <t>ツトム</t>
    </rPh>
    <phoneticPr fontId="4"/>
  </si>
  <si>
    <t>係</t>
    <rPh sb="0" eb="1">
      <t>カカリ</t>
    </rPh>
    <phoneticPr fontId="4"/>
  </si>
  <si>
    <t>係 長</t>
    <rPh sb="0" eb="1">
      <t>カカリ</t>
    </rPh>
    <rPh sb="2" eb="3">
      <t>チョウ</t>
    </rPh>
    <phoneticPr fontId="4"/>
  </si>
  <si>
    <t>課 長 補 佐</t>
    <rPh sb="0" eb="1">
      <t>カ</t>
    </rPh>
    <rPh sb="2" eb="3">
      <t>チョウ</t>
    </rPh>
    <rPh sb="4" eb="5">
      <t>タスク</t>
    </rPh>
    <rPh sb="6" eb="7">
      <t>サ</t>
    </rPh>
    <phoneticPr fontId="4"/>
  </si>
  <si>
    <t>主 幹</t>
    <rPh sb="0" eb="1">
      <t>シュ</t>
    </rPh>
    <rPh sb="2" eb="3">
      <t>ミキ</t>
    </rPh>
    <phoneticPr fontId="4"/>
  </si>
  <si>
    <t>課 長</t>
    <rPh sb="0" eb="1">
      <t>カ</t>
    </rPh>
    <rPh sb="2" eb="3">
      <t>チョウ</t>
    </rPh>
    <phoneticPr fontId="4"/>
  </si>
  <si>
    <t xml:space="preserve"> 検査職員</t>
    <rPh sb="1" eb="3">
      <t>ケンサ</t>
    </rPh>
    <rPh sb="3" eb="5">
      <t>ショクイン</t>
    </rPh>
    <phoneticPr fontId="4"/>
  </si>
  <si>
    <t xml:space="preserve"> 職 氏 名</t>
    <rPh sb="1" eb="2">
      <t>ショク</t>
    </rPh>
    <rPh sb="3" eb="4">
      <t>シ</t>
    </rPh>
    <rPh sb="5" eb="6">
      <t>メイ</t>
    </rPh>
    <phoneticPr fontId="4"/>
  </si>
  <si>
    <t>検　査　報　告</t>
    <rPh sb="0" eb="1">
      <t>ケン</t>
    </rPh>
    <rPh sb="2" eb="3">
      <t>サ</t>
    </rPh>
    <rPh sb="4" eb="5">
      <t>ホウ</t>
    </rPh>
    <rPh sb="6" eb="7">
      <t>コク</t>
    </rPh>
    <phoneticPr fontId="4"/>
  </si>
  <si>
    <t>検査及び引き渡し</t>
    <rPh sb="0" eb="2">
      <t>ケンサ</t>
    </rPh>
    <rPh sb="2" eb="3">
      <t>オヨ</t>
    </rPh>
    <rPh sb="4" eb="5">
      <t>ヒ</t>
    </rPh>
    <rPh sb="6" eb="7">
      <t>ワタ</t>
    </rPh>
    <phoneticPr fontId="4"/>
  </si>
  <si>
    <t xml:space="preserve"> 検査所見</t>
    <rPh sb="1" eb="3">
      <t>ケンサ</t>
    </rPh>
    <rPh sb="3" eb="5">
      <t>ショケン</t>
    </rPh>
    <phoneticPr fontId="4"/>
  </si>
  <si>
    <t>出来型適当と認め検了</t>
    <rPh sb="0" eb="2">
      <t>デキ</t>
    </rPh>
    <rPh sb="2" eb="3">
      <t>カタ</t>
    </rPh>
    <rPh sb="3" eb="5">
      <t>テキトウ</t>
    </rPh>
    <rPh sb="6" eb="7">
      <t>ミト</t>
    </rPh>
    <rPh sb="8" eb="9">
      <t>ケン</t>
    </rPh>
    <rPh sb="9" eb="10">
      <t>リョウ</t>
    </rPh>
    <phoneticPr fontId="4"/>
  </si>
  <si>
    <t>検査職員</t>
    <rPh sb="0" eb="2">
      <t>ケンサ</t>
    </rPh>
    <rPh sb="2" eb="4">
      <t>ショクイン</t>
    </rPh>
    <phoneticPr fontId="4"/>
  </si>
  <si>
    <t>職氏名</t>
    <rPh sb="0" eb="3">
      <t>ショクシメイ</t>
    </rPh>
    <phoneticPr fontId="4"/>
  </si>
  <si>
    <t>長野市上下水道事業管理者</t>
    <rPh sb="0" eb="3">
      <t>ナガノシ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4"/>
  </si>
  <si>
    <t>上下水道局　　下水道整備課</t>
    <rPh sb="0" eb="2">
      <t>ジョウゲ</t>
    </rPh>
    <rPh sb="2" eb="4">
      <t>スイドウ</t>
    </rPh>
    <rPh sb="4" eb="5">
      <t>キョク</t>
    </rPh>
    <rPh sb="7" eb="10">
      <t>ゲスイドウ</t>
    </rPh>
    <rPh sb="10" eb="12">
      <t>セイビ</t>
    </rPh>
    <rPh sb="12" eb="13">
      <t>カ</t>
    </rPh>
    <phoneticPr fontId="1"/>
  </si>
  <si>
    <t>請　求　書（工事請負、委託等）</t>
    <rPh sb="0" eb="1">
      <t>ショウ</t>
    </rPh>
    <rPh sb="2" eb="3">
      <t>モトム</t>
    </rPh>
    <rPh sb="4" eb="5">
      <t>ショ</t>
    </rPh>
    <rPh sb="6" eb="8">
      <t>コウジ</t>
    </rPh>
    <rPh sb="8" eb="10">
      <t>ウケオイ</t>
    </rPh>
    <rPh sb="11" eb="13">
      <t>イタク</t>
    </rPh>
    <rPh sb="13" eb="14">
      <t>トウ</t>
    </rPh>
    <phoneticPr fontId="4"/>
  </si>
  <si>
    <t>月</t>
    <rPh sb="0" eb="1">
      <t>ガツ</t>
    </rPh>
    <phoneticPr fontId="4"/>
  </si>
  <si>
    <t>下記の金額を請求します。</t>
  </si>
  <si>
    <t>請求者</t>
    <rPh sb="0" eb="3">
      <t>セイキュウシャ</t>
    </rPh>
    <phoneticPr fontId="4"/>
  </si>
  <si>
    <t>登録番号</t>
    <rPh sb="0" eb="2">
      <t>トウロク</t>
    </rPh>
    <rPh sb="2" eb="4">
      <t>バンゴウ</t>
    </rPh>
    <phoneticPr fontId="4"/>
  </si>
  <si>
    <t>T</t>
  </si>
  <si>
    <t>※適格請求書（インボイス）発行事業者ではありません。→</t>
    <rPh sb="1" eb="3">
      <t>テキカク</t>
    </rPh>
    <rPh sb="3" eb="6">
      <t>セイキュウショ</t>
    </rPh>
    <rPh sb="13" eb="15">
      <t>ハッコウ</t>
    </rPh>
    <rPh sb="15" eb="18">
      <t>ジギョウシャ</t>
    </rPh>
    <phoneticPr fontId="4"/>
  </si>
  <si>
    <t>住　　　　所</t>
    <rPh sb="0" eb="1">
      <t>ジュウ</t>
    </rPh>
    <rPh sb="5" eb="6">
      <t>ショ</t>
    </rPh>
    <phoneticPr fontId="4"/>
  </si>
  <si>
    <t>商号又は名称</t>
  </si>
  <si>
    <t>氏　　　　名</t>
    <rPh sb="0" eb="1">
      <t>シ</t>
    </rPh>
    <rPh sb="5" eb="6">
      <t>ナ</t>
    </rPh>
    <phoneticPr fontId="4"/>
  </si>
  <si>
    <t>請求金額</t>
    <rPh sb="0" eb="2">
      <t>セイキュウ</t>
    </rPh>
    <rPh sb="2" eb="4">
      <t>キンガク</t>
    </rPh>
    <phoneticPr fontId="13"/>
  </si>
  <si>
    <t>十億</t>
    <rPh sb="0" eb="2">
      <t>ジュウオク</t>
    </rPh>
    <phoneticPr fontId="13"/>
  </si>
  <si>
    <t>億</t>
    <rPh sb="0" eb="1">
      <t>オク</t>
    </rPh>
    <phoneticPr fontId="13"/>
  </si>
  <si>
    <t>千万</t>
    <rPh sb="0" eb="2">
      <t>センマン</t>
    </rPh>
    <phoneticPr fontId="13"/>
  </si>
  <si>
    <t>百万</t>
    <rPh sb="0" eb="2">
      <t>ヒャクマン</t>
    </rPh>
    <phoneticPr fontId="13"/>
  </si>
  <si>
    <t>十万</t>
    <rPh sb="0" eb="2">
      <t>ジュウマン</t>
    </rPh>
    <phoneticPr fontId="13"/>
  </si>
  <si>
    <t>万</t>
    <rPh sb="0" eb="1">
      <t>マン</t>
    </rPh>
    <phoneticPr fontId="13"/>
  </si>
  <si>
    <t>千</t>
    <rPh sb="0" eb="1">
      <t>セン</t>
    </rPh>
    <phoneticPr fontId="4"/>
  </si>
  <si>
    <t>百</t>
    <rPh sb="0" eb="1">
      <t>ヒャク</t>
    </rPh>
    <phoneticPr fontId="13"/>
  </si>
  <si>
    <t>十</t>
    <rPh sb="0" eb="1">
      <t>ジュウ</t>
    </rPh>
    <phoneticPr fontId="13"/>
  </si>
  <si>
    <t>一</t>
    <rPh sb="0" eb="1">
      <t>イチ</t>
    </rPh>
    <phoneticPr fontId="13"/>
  </si>
  <si>
    <t>円</t>
    <rPh sb="0" eb="1">
      <t>エン</t>
    </rPh>
    <phoneticPr fontId="13"/>
  </si>
  <si>
    <t>[うち消費税等の額（10％）</t>
    <rPh sb="3" eb="6">
      <t>ショウヒゼイ</t>
    </rPh>
    <rPh sb="6" eb="7">
      <t>トウ</t>
    </rPh>
    <rPh sb="8" eb="9">
      <t>ガク</t>
    </rPh>
    <phoneticPr fontId="4"/>
  </si>
  <si>
    <t>円]</t>
    <rPh sb="0" eb="1">
      <t>エン</t>
    </rPh>
    <phoneticPr fontId="4"/>
  </si>
  <si>
    <t>取引年月日
（引渡日）</t>
    <rPh sb="0" eb="4">
      <t>トリヒキネンガッピ</t>
    </rPh>
    <rPh sb="7" eb="9">
      <t>ヒキワタシ</t>
    </rPh>
    <rPh sb="9" eb="10">
      <t>ビ</t>
    </rPh>
    <phoneticPr fontId="4"/>
  </si>
  <si>
    <t>　年　　月　　日</t>
  </si>
  <si>
    <t>工事（委託）名</t>
    <rPh sb="0" eb="2">
      <t>コウジ</t>
    </rPh>
    <rPh sb="3" eb="5">
      <t>イタク</t>
    </rPh>
    <rPh sb="6" eb="7">
      <t>メイ</t>
    </rPh>
    <phoneticPr fontId="4"/>
  </si>
  <si>
    <t>工事（委託）場所</t>
    <rPh sb="0" eb="2">
      <t>コウジ</t>
    </rPh>
    <rPh sb="3" eb="5">
      <t>イタク</t>
    </rPh>
    <rPh sb="6" eb="8">
      <t>バショ</t>
    </rPh>
    <phoneticPr fontId="4"/>
  </si>
  <si>
    <t>工事（委託）期間</t>
    <rPh sb="0" eb="2">
      <t>コウジ</t>
    </rPh>
    <rPh sb="3" eb="5">
      <t>イタク</t>
    </rPh>
    <rPh sb="6" eb="8">
      <t>キカン</t>
    </rPh>
    <phoneticPr fontId="4"/>
  </si>
  <si>
    <t>自</t>
    <rPh sb="0" eb="1">
      <t>ジ</t>
    </rPh>
    <phoneticPr fontId="4"/>
  </si>
  <si>
    <t>至</t>
    <rPh sb="0" eb="1">
      <t>イタ</t>
    </rPh>
    <phoneticPr fontId="4"/>
  </si>
  <si>
    <t>請求金額の内訳</t>
    <rPh sb="0" eb="2">
      <t>セイキュウ</t>
    </rPh>
    <rPh sb="2" eb="4">
      <t>キンガク</t>
    </rPh>
    <rPh sb="5" eb="7">
      <t>ウチワケ</t>
    </rPh>
    <phoneticPr fontId="4"/>
  </si>
  <si>
    <t>請負代金額</t>
    <rPh sb="0" eb="2">
      <t>ウケオイ</t>
    </rPh>
    <rPh sb="2" eb="4">
      <t>ダイキン</t>
    </rPh>
    <rPh sb="4" eb="5">
      <t>ガク</t>
    </rPh>
    <phoneticPr fontId="4"/>
  </si>
  <si>
    <t>（A)</t>
  </si>
  <si>
    <t>円</t>
    <rPh sb="0" eb="1">
      <t>エン</t>
    </rPh>
    <phoneticPr fontId="4"/>
  </si>
  <si>
    <t>[うち消費税等の額（10％）]</t>
    <rPh sb="3" eb="6">
      <t>ショウヒゼイ</t>
    </rPh>
    <rPh sb="6" eb="7">
      <t>トウ</t>
    </rPh>
    <rPh sb="8" eb="9">
      <t>ガク</t>
    </rPh>
    <phoneticPr fontId="4"/>
  </si>
  <si>
    <t>前 払 金 額</t>
    <rPh sb="0" eb="1">
      <t>マエ</t>
    </rPh>
    <rPh sb="2" eb="3">
      <t>バライ</t>
    </rPh>
    <rPh sb="4" eb="5">
      <t>キン</t>
    </rPh>
    <rPh sb="6" eb="7">
      <t>ガク</t>
    </rPh>
    <phoneticPr fontId="4"/>
  </si>
  <si>
    <t>（B)</t>
  </si>
  <si>
    <t>中間前払金額</t>
    <rPh sb="0" eb="2">
      <t>チュウカン</t>
    </rPh>
    <rPh sb="2" eb="4">
      <t>マエバラ</t>
    </rPh>
    <rPh sb="4" eb="5">
      <t>キン</t>
    </rPh>
    <rPh sb="5" eb="6">
      <t>ガク</t>
    </rPh>
    <phoneticPr fontId="4"/>
  </si>
  <si>
    <t>（C)</t>
  </si>
  <si>
    <t>部分払金額</t>
    <rPh sb="0" eb="2">
      <t>ブブン</t>
    </rPh>
    <rPh sb="2" eb="3">
      <t>バラ</t>
    </rPh>
    <rPh sb="3" eb="5">
      <t>キンガク</t>
    </rPh>
    <phoneticPr fontId="4"/>
  </si>
  <si>
    <t>（D)</t>
  </si>
  <si>
    <t>請求金額(E)
(E=A-B-C-D)</t>
    <rPh sb="0" eb="1">
      <t>ウケ</t>
    </rPh>
    <rPh sb="1" eb="2">
      <t>モトム</t>
    </rPh>
    <rPh sb="2" eb="3">
      <t>キン</t>
    </rPh>
    <rPh sb="3" eb="4">
      <t>ガク</t>
    </rPh>
    <phoneticPr fontId="4"/>
  </si>
  <si>
    <t>振込口座（債権者登録済の場合は不要）</t>
    <rPh sb="0" eb="2">
      <t>フリコミ</t>
    </rPh>
    <rPh sb="2" eb="4">
      <t>コウザ</t>
    </rPh>
    <rPh sb="5" eb="8">
      <t>サイケンシャ</t>
    </rPh>
    <rPh sb="8" eb="10">
      <t>トウロク</t>
    </rPh>
    <rPh sb="10" eb="11">
      <t>ズ</t>
    </rPh>
    <rPh sb="12" eb="14">
      <t>バアイ</t>
    </rPh>
    <rPh sb="15" eb="17">
      <t>フヨウ</t>
    </rPh>
    <phoneticPr fontId="13"/>
  </si>
  <si>
    <t>銀　　行</t>
    <rPh sb="0" eb="1">
      <t>ギンコウ</t>
    </rPh>
    <phoneticPr fontId="4"/>
  </si>
  <si>
    <t>支店
支所</t>
    <rPh sb="0" eb="2">
      <t>シテン</t>
    </rPh>
    <rPh sb="4" eb="5">
      <t>ショ</t>
    </rPh>
    <phoneticPr fontId="4"/>
  </si>
  <si>
    <t>普
･
当</t>
    <rPh sb="0" eb="1">
      <t>フツウ</t>
    </rPh>
    <phoneticPr fontId="4"/>
  </si>
  <si>
    <t>口座番号</t>
    <rPh sb="0" eb="2">
      <t>コウザ</t>
    </rPh>
    <rPh sb="2" eb="4">
      <t>バンゴウ</t>
    </rPh>
    <phoneticPr fontId="13"/>
  </si>
  <si>
    <t>口座名義人（フリガナ）</t>
    <rPh sb="0" eb="2">
      <t>コウザ</t>
    </rPh>
    <rPh sb="2" eb="4">
      <t>メイギ</t>
    </rPh>
    <rPh sb="4" eb="5">
      <t>ニン</t>
    </rPh>
    <phoneticPr fontId="13"/>
  </si>
  <si>
    <t>信用金庫</t>
    <rPh sb="0" eb="1">
      <t>シンヨウ</t>
    </rPh>
    <rPh sb="1" eb="3">
      <t>キンコ</t>
    </rPh>
    <phoneticPr fontId="4"/>
  </si>
  <si>
    <t>農　　協</t>
    <rPh sb="0" eb="1">
      <t>ノウキョウ</t>
    </rPh>
    <phoneticPr fontId="4"/>
  </si>
  <si>
    <t>監 督 員</t>
    <rPh sb="0" eb="1">
      <t>カン</t>
    </rPh>
    <rPh sb="2" eb="3">
      <t>トク</t>
    </rPh>
    <rPh sb="4" eb="5">
      <t>イン</t>
    </rPh>
    <phoneticPr fontId="4"/>
  </si>
  <si>
    <t>長野市上下水道事業管理者　宛</t>
    <rPh sb="3" eb="5">
      <t>ジョウゲ</t>
    </rPh>
    <rPh sb="5" eb="12">
      <t>スイドウジギョウカンリシャ</t>
    </rPh>
    <phoneticPr fontId="13"/>
  </si>
  <si>
    <t>市道</t>
    <rPh sb="0" eb="2">
      <t>シドウ</t>
    </rPh>
    <phoneticPr fontId="24"/>
  </si>
  <si>
    <t>線</t>
    <rPh sb="0" eb="1">
      <t>セン</t>
    </rPh>
    <phoneticPr fontId="24"/>
  </si>
  <si>
    <t>＜</t>
    <phoneticPr fontId="24"/>
  </si>
  <si>
    <t>車線＞</t>
    <rPh sb="0" eb="2">
      <t>シャセン</t>
    </rPh>
    <phoneticPr fontId="24"/>
  </si>
  <si>
    <t>　数　量　計　算　書　</t>
    <rPh sb="1" eb="2">
      <t>カズ</t>
    </rPh>
    <rPh sb="3" eb="4">
      <t>リョウ</t>
    </rPh>
    <rPh sb="5" eb="6">
      <t>ケイ</t>
    </rPh>
    <rPh sb="7" eb="8">
      <t>ザン</t>
    </rPh>
    <rPh sb="9" eb="10">
      <t>ショ</t>
    </rPh>
    <phoneticPr fontId="24"/>
  </si>
  <si>
    <t>平　面　図</t>
    <rPh sb="0" eb="1">
      <t>タイラ</t>
    </rPh>
    <rPh sb="2" eb="3">
      <t>メン</t>
    </rPh>
    <rPh sb="4" eb="5">
      <t>ズ</t>
    </rPh>
    <phoneticPr fontId="24"/>
  </si>
  <si>
    <t>方位</t>
    <rPh sb="0" eb="2">
      <t>ホウイ</t>
    </rPh>
    <phoneticPr fontId="24"/>
  </si>
  <si>
    <t>■ 取付管工</t>
    <rPh sb="2" eb="5">
      <t>ト</t>
    </rPh>
    <rPh sb="5" eb="6">
      <t>コウ</t>
    </rPh>
    <phoneticPr fontId="24"/>
  </si>
  <si>
    <t>計算結果</t>
    <rPh sb="0" eb="2">
      <t>ケイサン</t>
    </rPh>
    <rPh sb="2" eb="4">
      <t>ケッカ</t>
    </rPh>
    <phoneticPr fontId="24"/>
  </si>
  <si>
    <t>官民界</t>
    <rPh sb="0" eb="2">
      <t>カンミン</t>
    </rPh>
    <rPh sb="2" eb="3">
      <t>カイ</t>
    </rPh>
    <phoneticPr fontId="24"/>
  </si>
  <si>
    <t>舗装版取壊し工</t>
    <rPh sb="0" eb="2">
      <t>ホソウ</t>
    </rPh>
    <rPh sb="2" eb="3">
      <t>バン</t>
    </rPh>
    <rPh sb="3" eb="5">
      <t>トリコワ</t>
    </rPh>
    <rPh sb="6" eb="7">
      <t>コウ</t>
    </rPh>
    <phoneticPr fontId="24"/>
  </si>
  <si>
    <t>舗装全幅員</t>
    <rPh sb="0" eb="2">
      <t>ホソウ</t>
    </rPh>
    <rPh sb="2" eb="3">
      <t>ゼン</t>
    </rPh>
    <rPh sb="3" eb="5">
      <t>フクイン</t>
    </rPh>
    <phoneticPr fontId="24"/>
  </si>
  <si>
    <t>ｍ</t>
    <phoneticPr fontId="24"/>
  </si>
  <si>
    <t>舗装版切断</t>
    <rPh sb="0" eb="2">
      <t>ホソウ</t>
    </rPh>
    <rPh sb="2" eb="3">
      <t>バン</t>
    </rPh>
    <rPh sb="3" eb="5">
      <t>セツダン</t>
    </rPh>
    <phoneticPr fontId="24"/>
  </si>
  <si>
    <t>舗装版破砕</t>
    <rPh sb="0" eb="2">
      <t>ホソウ</t>
    </rPh>
    <rPh sb="2" eb="3">
      <t>バン</t>
    </rPh>
    <rPh sb="3" eb="5">
      <t>ハサイ</t>
    </rPh>
    <phoneticPr fontId="24"/>
  </si>
  <si>
    <t>施工延長</t>
    <rPh sb="0" eb="2">
      <t>セコウ</t>
    </rPh>
    <rPh sb="2" eb="4">
      <t>エンチョウ</t>
    </rPh>
    <phoneticPr fontId="24"/>
  </si>
  <si>
    <t>舗装版廃材運搬</t>
    <rPh sb="0" eb="2">
      <t>ホソウ</t>
    </rPh>
    <rPh sb="2" eb="3">
      <t>バン</t>
    </rPh>
    <rPh sb="3" eb="5">
      <t>ハイザイ</t>
    </rPh>
    <rPh sb="5" eb="7">
      <t>ウンパン</t>
    </rPh>
    <phoneticPr fontId="24"/>
  </si>
  <si>
    <t>側溝</t>
    <phoneticPr fontId="24"/>
  </si>
  <si>
    <t>側溝</t>
    <rPh sb="0" eb="2">
      <t>ソッコウ</t>
    </rPh>
    <phoneticPr fontId="24"/>
  </si>
  <si>
    <t>舗装版廃材処理</t>
    <rPh sb="0" eb="2">
      <t>ホソウ</t>
    </rPh>
    <rPh sb="2" eb="3">
      <t>バン</t>
    </rPh>
    <rPh sb="3" eb="5">
      <t>ハイザイ</t>
    </rPh>
    <rPh sb="5" eb="7">
      <t>ショリ</t>
    </rPh>
    <phoneticPr fontId="24"/>
  </si>
  <si>
    <t>車道掘削長</t>
    <rPh sb="0" eb="2">
      <t>シャドウ</t>
    </rPh>
    <rPh sb="2" eb="4">
      <t>クッサク</t>
    </rPh>
    <rPh sb="4" eb="5">
      <t>チョウ</t>
    </rPh>
    <phoneticPr fontId="24"/>
  </si>
  <si>
    <t>民地</t>
    <rPh sb="0" eb="1">
      <t>ミン</t>
    </rPh>
    <rPh sb="1" eb="2">
      <t>チ</t>
    </rPh>
    <phoneticPr fontId="24"/>
  </si>
  <si>
    <t>土　工</t>
    <rPh sb="0" eb="1">
      <t>ド</t>
    </rPh>
    <rPh sb="2" eb="3">
      <t>コウ</t>
    </rPh>
    <phoneticPr fontId="24"/>
  </si>
  <si>
    <t>掘削土量</t>
    <rPh sb="0" eb="2">
      <t>クッサク</t>
    </rPh>
    <rPh sb="2" eb="3">
      <t>ド</t>
    </rPh>
    <rPh sb="3" eb="4">
      <t>リョウ</t>
    </rPh>
    <phoneticPr fontId="24"/>
  </si>
  <si>
    <t>①</t>
    <phoneticPr fontId="24"/>
  </si>
  <si>
    <t>②</t>
    <phoneticPr fontId="24"/>
  </si>
  <si>
    <t>③</t>
    <phoneticPr fontId="24"/>
  </si>
  <si>
    <t>下水道本管</t>
    <rPh sb="0" eb="3">
      <t>ゲスイドウ</t>
    </rPh>
    <rPh sb="3" eb="5">
      <t>ホンカン</t>
    </rPh>
    <phoneticPr fontId="24"/>
  </si>
  <si>
    <t>計</t>
    <rPh sb="0" eb="1">
      <t>ケイ</t>
    </rPh>
    <phoneticPr fontId="24"/>
  </si>
  <si>
    <t>（本管控除）</t>
    <rPh sb="1" eb="3">
      <t>ホンカン</t>
    </rPh>
    <rPh sb="3" eb="5">
      <t>コウジョ</t>
    </rPh>
    <phoneticPr fontId="24"/>
  </si>
  <si>
    <t>φ２５０ＶＵ</t>
  </si>
  <si>
    <t>砂基礎量</t>
    <rPh sb="0" eb="1">
      <t>スナ</t>
    </rPh>
    <rPh sb="1" eb="3">
      <t>キソ</t>
    </rPh>
    <rPh sb="3" eb="4">
      <t>リョウ</t>
    </rPh>
    <phoneticPr fontId="24"/>
  </si>
  <si>
    <t>取付管φ１５０ＶＵ</t>
    <rPh sb="0" eb="3">
      <t>ト</t>
    </rPh>
    <phoneticPr fontId="24"/>
  </si>
  <si>
    <t>（取付管控除）</t>
    <rPh sb="1" eb="4">
      <t>ト</t>
    </rPh>
    <rPh sb="4" eb="6">
      <t>コウジョ</t>
    </rPh>
    <phoneticPr fontId="24"/>
  </si>
  <si>
    <t>砕石埋戻量</t>
    <rPh sb="0" eb="2">
      <t>サイセキ</t>
    </rPh>
    <rPh sb="2" eb="4">
      <t>ウメ</t>
    </rPh>
    <rPh sb="4" eb="5">
      <t>リョウ</t>
    </rPh>
    <phoneticPr fontId="24"/>
  </si>
  <si>
    <t>発生土埋戻量</t>
    <rPh sb="0" eb="2">
      <t>ハッセイ</t>
    </rPh>
    <rPh sb="2" eb="3">
      <t>ド</t>
    </rPh>
    <rPh sb="3" eb="5">
      <t>ウメ</t>
    </rPh>
    <rPh sb="5" eb="6">
      <t>リョウ</t>
    </rPh>
    <phoneticPr fontId="24"/>
  </si>
  <si>
    <t>取付管平面延長（ℓ）</t>
    <rPh sb="0" eb="3">
      <t>ト</t>
    </rPh>
    <rPh sb="3" eb="5">
      <t>ヘイメン</t>
    </rPh>
    <rPh sb="5" eb="7">
      <t>エンチョウ</t>
    </rPh>
    <phoneticPr fontId="24"/>
  </si>
  <si>
    <t>残土処理量</t>
    <rPh sb="0" eb="2">
      <t>ザンド</t>
    </rPh>
    <rPh sb="2" eb="4">
      <t>ショリ</t>
    </rPh>
    <rPh sb="4" eb="5">
      <t>リョウ</t>
    </rPh>
    <phoneticPr fontId="24"/>
  </si>
  <si>
    <t>取付管設置工</t>
    <rPh sb="0" eb="3">
      <t>ト</t>
    </rPh>
    <rPh sb="3" eb="5">
      <t>セッチ</t>
    </rPh>
    <rPh sb="5" eb="6">
      <t>コウ</t>
    </rPh>
    <phoneticPr fontId="24"/>
  </si>
  <si>
    <t>取付管布設</t>
    <rPh sb="0" eb="3">
      <t>ト</t>
    </rPh>
    <rPh sb="3" eb="5">
      <t>フセツ</t>
    </rPh>
    <phoneticPr fontId="24"/>
  </si>
  <si>
    <t>ℓ＝</t>
    <phoneticPr fontId="24"/>
  </si>
  <si>
    <t>支管取付</t>
    <rPh sb="0" eb="1">
      <t>シ</t>
    </rPh>
    <rPh sb="1" eb="2">
      <t>カン</t>
    </rPh>
    <rPh sb="2" eb="4">
      <t>トリツケ</t>
    </rPh>
    <phoneticPr fontId="24"/>
  </si>
  <si>
    <t>箇所</t>
    <rPh sb="0" eb="2">
      <t>カショ</t>
    </rPh>
    <phoneticPr fontId="24"/>
  </si>
  <si>
    <t>横　断　図</t>
    <rPh sb="0" eb="1">
      <t>ヨコ</t>
    </rPh>
    <rPh sb="2" eb="3">
      <t>ダン</t>
    </rPh>
    <rPh sb="4" eb="5">
      <t>ズ</t>
    </rPh>
    <phoneticPr fontId="24"/>
  </si>
  <si>
    <t>鞘管設置</t>
    <rPh sb="0" eb="1">
      <t>サヤ</t>
    </rPh>
    <rPh sb="1" eb="2">
      <t>カン</t>
    </rPh>
    <rPh sb="2" eb="4">
      <t>セッチ</t>
    </rPh>
    <phoneticPr fontId="24"/>
  </si>
  <si>
    <t>有</t>
  </si>
  <si>
    <t>路盤及び仮復旧工</t>
    <rPh sb="0" eb="2">
      <t>ロバン</t>
    </rPh>
    <rPh sb="2" eb="3">
      <t>オヨ</t>
    </rPh>
    <rPh sb="4" eb="5">
      <t>カリ</t>
    </rPh>
    <rPh sb="5" eb="7">
      <t>フッキュウ</t>
    </rPh>
    <rPh sb="7" eb="8">
      <t>コウ</t>
    </rPh>
    <phoneticPr fontId="24"/>
  </si>
  <si>
    <t>≪</t>
    <phoneticPr fontId="24"/>
  </si>
  <si>
    <t>≫</t>
    <phoneticPr fontId="24"/>
  </si>
  <si>
    <t>下層路盤</t>
    <rPh sb="0" eb="2">
      <t>カソウ</t>
    </rPh>
    <rPh sb="2" eb="4">
      <t>ロバン</t>
    </rPh>
    <phoneticPr fontId="24"/>
  </si>
  <si>
    <t>上層路盤</t>
    <rPh sb="0" eb="1">
      <t>ウエ</t>
    </rPh>
    <rPh sb="1" eb="2">
      <t>ソウ</t>
    </rPh>
    <rPh sb="2" eb="4">
      <t>ロバン</t>
    </rPh>
    <phoneticPr fontId="24"/>
  </si>
  <si>
    <t>仮復旧</t>
    <rPh sb="0" eb="1">
      <t>カリ</t>
    </rPh>
    <rPh sb="1" eb="3">
      <t>フッキュウ</t>
    </rPh>
    <phoneticPr fontId="24"/>
  </si>
  <si>
    <t>舗装復旧構成 ：</t>
    <rPh sb="0" eb="2">
      <t>ホソウ</t>
    </rPh>
    <rPh sb="2" eb="4">
      <t>フッキュウ</t>
    </rPh>
    <rPh sb="4" eb="6">
      <t>コウセイ</t>
    </rPh>
    <phoneticPr fontId="24"/>
  </si>
  <si>
    <t>㎝</t>
    <phoneticPr fontId="24"/>
  </si>
  <si>
    <t>仮設工</t>
    <rPh sb="0" eb="2">
      <t>カセツ</t>
    </rPh>
    <rPh sb="2" eb="3">
      <t>コウ</t>
    </rPh>
    <phoneticPr fontId="24"/>
  </si>
  <si>
    <t>既存舗装厚</t>
    <phoneticPr fontId="24"/>
  </si>
  <si>
    <t>（</t>
    <phoneticPr fontId="24"/>
  </si>
  <si>
    <t>）</t>
    <phoneticPr fontId="24"/>
  </si>
  <si>
    <t>土留</t>
    <rPh sb="0" eb="2">
      <t>ドドメ</t>
    </rPh>
    <phoneticPr fontId="24"/>
  </si>
  <si>
    <t>平均</t>
  </si>
  <si>
    <t>水替え</t>
    <rPh sb="0" eb="1">
      <t>ミズ</t>
    </rPh>
    <rPh sb="1" eb="2">
      <t>カ</t>
    </rPh>
    <phoneticPr fontId="24"/>
  </si>
  <si>
    <t>日</t>
    <rPh sb="0" eb="1">
      <t>ヒ</t>
    </rPh>
    <phoneticPr fontId="24"/>
  </si>
  <si>
    <t>掘削深</t>
    <rPh sb="0" eb="2">
      <t>クッサク</t>
    </rPh>
    <rPh sb="2" eb="3">
      <t>シン</t>
    </rPh>
    <phoneticPr fontId="24"/>
  </si>
  <si>
    <t>管底（H）</t>
    <rPh sb="0" eb="1">
      <t>カン</t>
    </rPh>
    <rPh sb="1" eb="2">
      <t>ソコ</t>
    </rPh>
    <phoneticPr fontId="24"/>
  </si>
  <si>
    <t>本管土被り</t>
    <rPh sb="0" eb="2">
      <t>ホンカン</t>
    </rPh>
    <rPh sb="2" eb="3">
      <t>ド</t>
    </rPh>
    <rPh sb="3" eb="4">
      <t>カブ</t>
    </rPh>
    <phoneticPr fontId="24"/>
  </si>
  <si>
    <t>鞘管φ200</t>
    <rPh sb="0" eb="1">
      <t>サヤ</t>
    </rPh>
    <rPh sb="1" eb="2">
      <t>カン</t>
    </rPh>
    <phoneticPr fontId="24"/>
  </si>
  <si>
    <t>取付管布設延長</t>
    <rPh sb="0" eb="3">
      <t>ト</t>
    </rPh>
    <rPh sb="3" eb="5">
      <t>フセツ</t>
    </rPh>
    <rPh sb="5" eb="7">
      <t>エンチョウ</t>
    </rPh>
    <phoneticPr fontId="24"/>
  </si>
  <si>
    <t>＋</t>
    <phoneticPr fontId="24"/>
  </si>
  <si>
    <t>＝</t>
    <phoneticPr fontId="24"/>
  </si>
  <si>
    <t>ｎ</t>
    <phoneticPr fontId="24"/>
  </si>
  <si>
    <t>ｔ</t>
    <phoneticPr fontId="24"/>
  </si>
  <si>
    <t>ｔ ≧1.2m</t>
    <phoneticPr fontId="24"/>
  </si>
  <si>
    <t>舗装仮復旧</t>
    <rPh sb="0" eb="2">
      <t>ホソウ</t>
    </rPh>
    <rPh sb="2" eb="3">
      <t>カリ</t>
    </rPh>
    <rPh sb="3" eb="5">
      <t>フッキュウ</t>
    </rPh>
    <phoneticPr fontId="24"/>
  </si>
  <si>
    <t>舗装本復旧</t>
    <rPh sb="0" eb="2">
      <t>ホソウ</t>
    </rPh>
    <rPh sb="2" eb="3">
      <t>ホン</t>
    </rPh>
    <rPh sb="3" eb="5">
      <t>フッキュウ</t>
    </rPh>
    <phoneticPr fontId="24"/>
  </si>
  <si>
    <t>無</t>
  </si>
  <si>
    <t>種別 ：</t>
    <rPh sb="0" eb="2">
      <t>シュベツ</t>
    </rPh>
    <phoneticPr fontId="24"/>
  </si>
  <si>
    <t>車　道</t>
  </si>
  <si>
    <t>表層 ：</t>
    <rPh sb="0" eb="2">
      <t>ヒョウソウ</t>
    </rPh>
    <phoneticPr fontId="24"/>
  </si>
  <si>
    <t>アスファルト</t>
  </si>
  <si>
    <t>上層 ：</t>
    <rPh sb="0" eb="2">
      <t>ジョウソウ</t>
    </rPh>
    <phoneticPr fontId="24"/>
  </si>
  <si>
    <t>基層 ：</t>
    <rPh sb="0" eb="2">
      <t>キソウ</t>
    </rPh>
    <phoneticPr fontId="24"/>
  </si>
  <si>
    <t>タイプ ：</t>
    <phoneticPr fontId="24"/>
  </si>
  <si>
    <t>Ｌタイプ</t>
  </si>
  <si>
    <t>下層 ：</t>
    <rPh sb="0" eb="2">
      <t>カソウ</t>
    </rPh>
    <phoneticPr fontId="24"/>
  </si>
  <si>
    <t>安定 ：</t>
    <rPh sb="0" eb="2">
      <t>アンテイ</t>
    </rPh>
    <phoneticPr fontId="24"/>
  </si>
  <si>
    <t>車線数 ：</t>
    <rPh sb="0" eb="3">
      <t>シャセンスウ</t>
    </rPh>
    <phoneticPr fontId="24"/>
  </si>
  <si>
    <t>舗装構成 ：</t>
    <rPh sb="0" eb="2">
      <t>ホソウ</t>
    </rPh>
    <rPh sb="2" eb="4">
      <t>コウセイ</t>
    </rPh>
    <phoneticPr fontId="24"/>
  </si>
  <si>
    <t>■　舗装復旧タイプ</t>
    <rPh sb="2" eb="4">
      <t>ホソウ</t>
    </rPh>
    <rPh sb="4" eb="6">
      <t>フッキュウ</t>
    </rPh>
    <phoneticPr fontId="24"/>
  </si>
  <si>
    <t>■　本管種別</t>
    <rPh sb="2" eb="4">
      <t>ホンカン</t>
    </rPh>
    <rPh sb="4" eb="6">
      <t>シュベツ</t>
    </rPh>
    <phoneticPr fontId="24"/>
  </si>
  <si>
    <t>仮表 ：</t>
    <rPh sb="0" eb="1">
      <t>カリ</t>
    </rPh>
    <rPh sb="1" eb="2">
      <t>オモテ</t>
    </rPh>
    <phoneticPr fontId="24"/>
  </si>
  <si>
    <t>外径</t>
    <rPh sb="0" eb="2">
      <t>ホカケイ</t>
    </rPh>
    <phoneticPr fontId="24"/>
  </si>
  <si>
    <t>φ１５０ＶＵ</t>
    <phoneticPr fontId="24"/>
  </si>
  <si>
    <t>φ２００ＶＵ</t>
    <phoneticPr fontId="24"/>
  </si>
  <si>
    <t>φ２５０ＶＵ</t>
    <phoneticPr fontId="24"/>
  </si>
  <si>
    <t>φ３００ＶＵ</t>
    <phoneticPr fontId="24"/>
  </si>
  <si>
    <t>すき取り ：</t>
    <rPh sb="2" eb="3">
      <t>ト</t>
    </rPh>
    <phoneticPr fontId="24"/>
  </si>
  <si>
    <t>φ１５０ＶＰ</t>
    <phoneticPr fontId="24"/>
  </si>
  <si>
    <t>φ２００ＶＰ</t>
    <phoneticPr fontId="24"/>
  </si>
  <si>
    <t>仮表</t>
    <rPh sb="0" eb="1">
      <t>カリ</t>
    </rPh>
    <rPh sb="1" eb="2">
      <t>ヒョウ</t>
    </rPh>
    <phoneticPr fontId="24"/>
  </si>
  <si>
    <t>表層</t>
    <rPh sb="0" eb="2">
      <t>ヒョウソウ</t>
    </rPh>
    <phoneticPr fontId="24"/>
  </si>
  <si>
    <t>基層</t>
    <rPh sb="0" eb="2">
      <t>キソウ</t>
    </rPh>
    <phoneticPr fontId="24"/>
  </si>
  <si>
    <t>安定</t>
    <rPh sb="0" eb="2">
      <t>アンテイ</t>
    </rPh>
    <phoneticPr fontId="24"/>
  </si>
  <si>
    <t>上層</t>
    <rPh sb="0" eb="2">
      <t>ジョウソウ</t>
    </rPh>
    <phoneticPr fontId="24"/>
  </si>
  <si>
    <t>下層</t>
    <rPh sb="0" eb="2">
      <t>カソウ</t>
    </rPh>
    <phoneticPr fontId="24"/>
  </si>
  <si>
    <t>すき取り</t>
    <rPh sb="2" eb="3">
      <t>ト</t>
    </rPh>
    <phoneticPr fontId="24"/>
  </si>
  <si>
    <t>φ２５０ＶＰ</t>
    <phoneticPr fontId="24"/>
  </si>
  <si>
    <t>車Ａｓ－Ｅ</t>
    <rPh sb="0" eb="1">
      <t>シャ</t>
    </rPh>
    <phoneticPr fontId="24"/>
  </si>
  <si>
    <t>－</t>
    <phoneticPr fontId="24"/>
  </si>
  <si>
    <t>φ３００ＶＰ</t>
    <phoneticPr fontId="24"/>
  </si>
  <si>
    <t>車Ａｓ－Ｌ</t>
    <rPh sb="0" eb="1">
      <t>シャ</t>
    </rPh>
    <phoneticPr fontId="24"/>
  </si>
  <si>
    <t>φ２００ＨＰ</t>
    <phoneticPr fontId="24"/>
  </si>
  <si>
    <t>車Ａｓ－Ａ</t>
    <rPh sb="0" eb="1">
      <t>シャ</t>
    </rPh>
    <phoneticPr fontId="24"/>
  </si>
  <si>
    <t>φ２５０ＨＰ</t>
    <phoneticPr fontId="24"/>
  </si>
  <si>
    <t>車Ａｓ－Ｂ</t>
    <rPh sb="0" eb="1">
      <t>シャ</t>
    </rPh>
    <phoneticPr fontId="24"/>
  </si>
  <si>
    <t>φ３００ＨＰ</t>
    <phoneticPr fontId="24"/>
  </si>
  <si>
    <t>車Ｃｏ－Ｌ</t>
    <rPh sb="0" eb="1">
      <t>シャ</t>
    </rPh>
    <phoneticPr fontId="24"/>
  </si>
  <si>
    <t>φ３５０ＨＰ</t>
    <phoneticPr fontId="24"/>
  </si>
  <si>
    <t>車Ｃｏ－Ａ</t>
    <rPh sb="0" eb="1">
      <t>シャ</t>
    </rPh>
    <phoneticPr fontId="24"/>
  </si>
  <si>
    <t>φ４００ＨＰ</t>
    <phoneticPr fontId="24"/>
  </si>
  <si>
    <t>車Ｃｏ－Ｂ</t>
    <rPh sb="0" eb="1">
      <t>シャ</t>
    </rPh>
    <phoneticPr fontId="24"/>
  </si>
  <si>
    <t>φ２００ＴＰ</t>
    <phoneticPr fontId="24"/>
  </si>
  <si>
    <t>歩Ａｓ－標</t>
    <rPh sb="0" eb="1">
      <t>ホ</t>
    </rPh>
    <rPh sb="4" eb="5">
      <t>ヒョウ</t>
    </rPh>
    <phoneticPr fontId="24"/>
  </si>
  <si>
    <t>φ２５０ＴＰ</t>
    <phoneticPr fontId="24"/>
  </si>
  <si>
    <t>歩Ａｓ－入</t>
    <rPh sb="0" eb="1">
      <t>ホ</t>
    </rPh>
    <rPh sb="4" eb="5">
      <t>イリ</t>
    </rPh>
    <phoneticPr fontId="24"/>
  </si>
  <si>
    <t>φ３００ＴＰ</t>
    <phoneticPr fontId="24"/>
  </si>
  <si>
    <t>歩Ｃｏ－標</t>
    <rPh sb="0" eb="1">
      <t>ホ</t>
    </rPh>
    <rPh sb="4" eb="5">
      <t>ヒョウ</t>
    </rPh>
    <phoneticPr fontId="24"/>
  </si>
  <si>
    <t>φ２００ＰＲＰ</t>
    <phoneticPr fontId="24"/>
  </si>
  <si>
    <t>歩Ｃｏ－入</t>
    <rPh sb="0" eb="1">
      <t>ホ</t>
    </rPh>
    <rPh sb="4" eb="5">
      <t>イリ</t>
    </rPh>
    <phoneticPr fontId="24"/>
  </si>
  <si>
    <t>φ２００ﾒｶﾛｯｸ</t>
    <phoneticPr fontId="24"/>
  </si>
  <si>
    <t>歩Int－標</t>
    <rPh sb="0" eb="1">
      <t>ホ</t>
    </rPh>
    <rPh sb="5" eb="6">
      <t>ヒョウ</t>
    </rPh>
    <phoneticPr fontId="24"/>
  </si>
  <si>
    <t>両勾配</t>
  </si>
  <si>
    <t>歩Int－入</t>
    <rPh sb="0" eb="1">
      <t>ホ</t>
    </rPh>
    <rPh sb="5" eb="6">
      <t>イリ</t>
    </rPh>
    <phoneticPr fontId="24"/>
  </si>
  <si>
    <t>■　舗装復旧パターン</t>
    <rPh sb="2" eb="4">
      <t>ホソウ</t>
    </rPh>
    <rPh sb="4" eb="6">
      <t>フッキュウ</t>
    </rPh>
    <phoneticPr fontId="24"/>
  </si>
  <si>
    <t>再生密粒度ｱｽｺﾝ13F</t>
    <phoneticPr fontId="24"/>
  </si>
  <si>
    <t>再生密粒度ｱｽｺﾝ20F</t>
    <rPh sb="0" eb="2">
      <t>サイセイ</t>
    </rPh>
    <rPh sb="2" eb="3">
      <t>ミツ</t>
    </rPh>
    <rPh sb="3" eb="5">
      <t>リュウド</t>
    </rPh>
    <phoneticPr fontId="24"/>
  </si>
  <si>
    <t>粒調砕石M-25</t>
    <phoneticPr fontId="24"/>
  </si>
  <si>
    <t>M-25</t>
    <phoneticPr fontId="24"/>
  </si>
  <si>
    <t>再生ｸﾗｯｼｬｰﾗﾝ40-0</t>
    <rPh sb="0" eb="2">
      <t>サイセイ</t>
    </rPh>
    <phoneticPr fontId="24"/>
  </si>
  <si>
    <t>RC-40</t>
    <phoneticPr fontId="24"/>
  </si>
  <si>
    <t>粒調砕石M-40</t>
    <phoneticPr fontId="24"/>
  </si>
  <si>
    <t>M-40</t>
    <phoneticPr fontId="24"/>
  </si>
  <si>
    <t>施工車線 ：</t>
    <rPh sb="0" eb="2">
      <t>セコウ</t>
    </rPh>
    <rPh sb="2" eb="4">
      <t>シャセン</t>
    </rPh>
    <phoneticPr fontId="24"/>
  </si>
  <si>
    <t>瀝青安定処理剤</t>
    <rPh sb="0" eb="2">
      <t>レキセイ</t>
    </rPh>
    <rPh sb="2" eb="4">
      <t>アンテイ</t>
    </rPh>
    <rPh sb="4" eb="7">
      <t>ショリザイ</t>
    </rPh>
    <phoneticPr fontId="24"/>
  </si>
  <si>
    <t>ｔ＝</t>
    <phoneticPr fontId="24"/>
  </si>
  <si>
    <t>粗粒度ｱｽｺﾝ20</t>
    <rPh sb="0" eb="1">
      <t>ソ</t>
    </rPh>
    <rPh sb="1" eb="3">
      <t>リュウド</t>
    </rPh>
    <phoneticPr fontId="24"/>
  </si>
  <si>
    <t>道路勾配 ：</t>
    <rPh sb="0" eb="2">
      <t>ドウロ</t>
    </rPh>
    <rPh sb="2" eb="4">
      <t>コウバイ</t>
    </rPh>
    <phoneticPr fontId="24"/>
  </si>
  <si>
    <t>ｺﾝｸﾘｰﾄ曲げ4.5N/㎜²</t>
    <rPh sb="6" eb="7">
      <t>マ</t>
    </rPh>
    <phoneticPr fontId="24"/>
  </si>
  <si>
    <t>切断</t>
    <rPh sb="0" eb="2">
      <t>セツダン</t>
    </rPh>
    <phoneticPr fontId="24"/>
  </si>
  <si>
    <t>破砕</t>
    <rPh sb="0" eb="2">
      <t>ハサイ</t>
    </rPh>
    <phoneticPr fontId="24"/>
  </si>
  <si>
    <t>運搬</t>
    <rPh sb="0" eb="2">
      <t>ウンパン</t>
    </rPh>
    <phoneticPr fontId="24"/>
  </si>
  <si>
    <t>処理</t>
    <rPh sb="0" eb="2">
      <t>ショリ</t>
    </rPh>
    <phoneticPr fontId="24"/>
  </si>
  <si>
    <t>不陸</t>
    <rPh sb="0" eb="1">
      <t>フ</t>
    </rPh>
    <rPh sb="1" eb="2">
      <t>リク</t>
    </rPh>
    <phoneticPr fontId="24"/>
  </si>
  <si>
    <t>すき</t>
    <phoneticPr fontId="24"/>
  </si>
  <si>
    <t>本復旧</t>
    <rPh sb="0" eb="1">
      <t>ホン</t>
    </rPh>
    <rPh sb="1" eb="3">
      <t>フッキュウ</t>
    </rPh>
    <phoneticPr fontId="24"/>
  </si>
  <si>
    <t>再生細粒度ｱｽｺﾝ13</t>
    <phoneticPr fontId="24"/>
  </si>
  <si>
    <t>再生細粒度ｱｽｺﾝ13</t>
    <rPh sb="0" eb="2">
      <t>サイセイ</t>
    </rPh>
    <rPh sb="2" eb="3">
      <t>サイ</t>
    </rPh>
    <rPh sb="3" eb="5">
      <t>リュウド</t>
    </rPh>
    <phoneticPr fontId="24"/>
  </si>
  <si>
    <t>再生ｸﾗｯｼｬｰﾗﾝ40-0</t>
    <phoneticPr fontId="24"/>
  </si>
  <si>
    <t>パターン①</t>
    <phoneticPr fontId="24"/>
  </si>
  <si>
    <t>パターン②</t>
    <phoneticPr fontId="24"/>
  </si>
  <si>
    <t>パターン③</t>
    <phoneticPr fontId="24"/>
  </si>
  <si>
    <t>パターン④</t>
    <phoneticPr fontId="24"/>
  </si>
  <si>
    <t>ｲﾝﾀｰﾛｯｷﾝｸﾞﾌﾞﾛｯｸ</t>
    <phoneticPr fontId="24"/>
  </si>
  <si>
    <t>砂</t>
    <rPh sb="0" eb="1">
      <t>スナ</t>
    </rPh>
    <phoneticPr fontId="24"/>
  </si>
  <si>
    <t>パターン⑤</t>
    <phoneticPr fontId="24"/>
  </si>
  <si>
    <t>パターン⑥</t>
    <phoneticPr fontId="24"/>
  </si>
  <si>
    <t>m</t>
    <phoneticPr fontId="24"/>
  </si>
  <si>
    <t>１．５ｍ以下</t>
    <rPh sb="4" eb="6">
      <t>イカ</t>
    </rPh>
    <phoneticPr fontId="24"/>
  </si>
  <si>
    <t>２．０ｍ以下</t>
    <rPh sb="4" eb="6">
      <t>イカ</t>
    </rPh>
    <phoneticPr fontId="24"/>
  </si>
  <si>
    <t>２．５ｍ以下</t>
    <rPh sb="4" eb="6">
      <t>イカ</t>
    </rPh>
    <phoneticPr fontId="24"/>
  </si>
  <si>
    <t>３．０ｍ以下</t>
    <rPh sb="4" eb="6">
      <t>イカ</t>
    </rPh>
    <phoneticPr fontId="24"/>
  </si>
  <si>
    <t>３．５ｍ以下</t>
    <rPh sb="4" eb="6">
      <t>イカ</t>
    </rPh>
    <phoneticPr fontId="24"/>
  </si>
  <si>
    <t>４．０ｍ以下</t>
    <rPh sb="4" eb="6">
      <t>イカ</t>
    </rPh>
    <phoneticPr fontId="24"/>
  </si>
  <si>
    <t>（明示ﾃｰﾌﾟ L=　</t>
    <phoneticPr fontId="1"/>
  </si>
  <si>
    <t>m　埋設ｼｰﾄ L=</t>
    <phoneticPr fontId="1"/>
  </si>
  <si>
    <t>ｍ）</t>
    <phoneticPr fontId="1"/>
  </si>
  <si>
    <t>施工計画図面を提出します。</t>
    <rPh sb="0" eb="2">
      <t>セコウ</t>
    </rPh>
    <rPh sb="2" eb="4">
      <t>ケイカク</t>
    </rPh>
    <rPh sb="4" eb="6">
      <t>ズメン</t>
    </rPh>
    <rPh sb="7" eb="9">
      <t>テイシュツ</t>
    </rPh>
    <phoneticPr fontId="1"/>
  </si>
  <si>
    <t>長野市上下水道事業管理者　宛</t>
    <rPh sb="0" eb="3">
      <t>ナガノシ</t>
    </rPh>
    <rPh sb="3" eb="7">
      <t>ジョウゲスイドウ</t>
    </rPh>
    <rPh sb="7" eb="9">
      <t>ジギョウ</t>
    </rPh>
    <rPh sb="9" eb="12">
      <t>カンリシャ</t>
    </rPh>
    <rPh sb="13" eb="14">
      <t>ア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</si>
  <si>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</si>
  <si>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</si>
  <si>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</si>
  <si>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</si>
  <si>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Ｌタイプ</t>
    <phoneticPr fontId="1"/>
  </si>
  <si>
    <t>無</t>
    <phoneticPr fontId="1"/>
  </si>
  <si>
    <t>平均</t>
    <phoneticPr fontId="1"/>
  </si>
  <si>
    <t>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</si>
</sst>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9" formatCode="#,###;;"/>
    <numFmt numFmtId="180" formatCode="&quot;金  &quot;###,###&quot; 円&quot;"/>
    <numFmt numFmtId="182" formatCode="#,##0.0"/>
    <numFmt numFmtId="183" formatCode="#,##0.0_ "/>
    <numFmt numFmtId="184" formatCode="0.0"/>
    <numFmt numFmtId="185" formatCode="0.00_);[Red]\(0.00\)"/>
    <numFmt numFmtId="186" formatCode="0.00_ "/>
  </numFmts>
  <fonts count="3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游明朝"/>
      <family val="1"/>
      <charset val="128"/>
    </font>
    <font>
      <sz val="9"/>
      <name val="游明朝"/>
      <family val="1"/>
      <charset val="128"/>
    </font>
    <font>
      <sz val="10.5"/>
      <name val="游明朝"/>
      <family val="1"/>
      <charset val="128"/>
    </font>
    <font>
      <b/>
      <sz val="20"/>
      <name val="游明朝"/>
      <family val="1"/>
      <charset val="128"/>
    </font>
    <font>
      <b/>
      <sz val="10.5"/>
      <name val="游明朝"/>
      <family val="1"/>
      <charset val="128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6"/>
      <name val="游ゴシック"/>
      <family val="3"/>
    </font>
    <font>
      <b/>
      <sz val="22"/>
      <name val="游明朝"/>
      <family val="1"/>
      <charset val="128"/>
    </font>
    <font>
      <sz val="18"/>
      <name val="游明朝"/>
      <family val="1"/>
      <charset val="128"/>
    </font>
    <font>
      <sz val="14"/>
      <name val="游明朝"/>
      <family val="1"/>
      <charset val="128"/>
    </font>
    <font>
      <sz val="16"/>
      <name val="游明朝"/>
      <family val="1"/>
      <charset val="128"/>
    </font>
    <font>
      <sz val="8"/>
      <name val="游明朝"/>
      <family val="1"/>
      <charset val="128"/>
    </font>
    <font>
      <b/>
      <sz val="14"/>
      <name val="游明朝"/>
      <family val="1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10"/>
      <color indexed="9"/>
      <name val="游ゴシック"/>
      <family val="3"/>
      <charset val="128"/>
    </font>
    <font>
      <sz val="6"/>
      <name val="ＭＳ Ｐゴシック"/>
      <family val="3"/>
      <charset val="128"/>
    </font>
    <font>
      <b/>
      <u val="double"/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b/>
      <u/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sz val="9.5"/>
      <name val="游ゴシック"/>
      <family val="3"/>
      <charset val="128"/>
    </font>
    <font>
      <sz val="8"/>
      <name val="游ゴシック"/>
      <family val="3"/>
      <charset val="128"/>
    </font>
    <font>
      <sz val="9"/>
      <color indexed="12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4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Dot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/>
  </cellStyleXfs>
  <cellXfs count="489">
    <xf numFmtId="0" fontId="0" fillId="0" borderId="0" xfId="0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10" fillId="0" borderId="0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Border="1" applyAlignment="1">
      <alignment horizontal="left" vertical="center" textRotation="255"/>
    </xf>
    <xf numFmtId="179" fontId="7" fillId="0" borderId="0" xfId="1" applyNumberFormat="1" applyFont="1" applyFill="1" applyBorder="1" applyAlignment="1">
      <alignment horizontal="left" vertical="center" shrinkToFit="1"/>
    </xf>
    <xf numFmtId="0" fontId="11" fillId="0" borderId="0" xfId="1" applyFont="1" applyBorder="1" applyAlignment="1"/>
    <xf numFmtId="0" fontId="7" fillId="0" borderId="0" xfId="1" applyFont="1" applyFill="1" applyBorder="1" applyAlignment="1" applyProtection="1">
      <alignment horizontal="right" vertical="center"/>
    </xf>
    <xf numFmtId="179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Border="1" applyAlignment="1">
      <alignment horizontal="left"/>
    </xf>
    <xf numFmtId="0" fontId="8" fillId="0" borderId="0" xfId="1" applyFont="1" applyFill="1" applyBorder="1" applyAlignment="1"/>
    <xf numFmtId="0" fontId="7" fillId="0" borderId="0" xfId="1" applyFont="1" applyAlignment="1">
      <alignment vertical="center"/>
    </xf>
    <xf numFmtId="0" fontId="11" fillId="0" borderId="0" xfId="1" applyFont="1" applyAlignment="1"/>
    <xf numFmtId="179" fontId="7" fillId="0" borderId="0" xfId="1" applyNumberFormat="1" applyFont="1" applyFill="1" applyBorder="1" applyAlignment="1" applyProtection="1">
      <alignment vertical="center" shrinkToFit="1"/>
    </xf>
    <xf numFmtId="0" fontId="7" fillId="0" borderId="0" xfId="1" applyFont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1" fillId="0" borderId="0" xfId="1" applyFont="1"/>
    <xf numFmtId="0" fontId="11" fillId="0" borderId="0" xfId="1" applyFont="1" applyBorder="1"/>
    <xf numFmtId="0" fontId="11" fillId="0" borderId="0" xfId="1" applyFont="1" applyBorder="1" applyAlignment="1">
      <alignment vertical="center"/>
    </xf>
    <xf numFmtId="0" fontId="16" fillId="0" borderId="0" xfId="1" applyFont="1" applyBorder="1" applyAlignment="1" applyProtection="1">
      <alignment vertical="center"/>
      <protection locked="0"/>
    </xf>
    <xf numFmtId="0" fontId="17" fillId="0" borderId="0" xfId="2" applyFont="1" applyFill="1" applyBorder="1" applyAlignment="1" applyProtection="1">
      <alignment vertical="center" wrapText="1"/>
      <protection locked="0"/>
    </xf>
    <xf numFmtId="0" fontId="15" fillId="0" borderId="0" xfId="2" applyFont="1" applyFill="1" applyBorder="1" applyAlignment="1">
      <alignment horizontal="center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1" fillId="0" borderId="0" xfId="2" applyFont="1" applyFill="1" applyBorder="1" applyAlignment="1">
      <alignment horizontal="center"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0" xfId="1" applyFont="1" applyBorder="1"/>
    <xf numFmtId="0" fontId="11" fillId="0" borderId="0" xfId="2" applyFont="1" applyFill="1" applyBorder="1" applyAlignment="1">
      <alignment vertical="center" wrapText="1"/>
    </xf>
    <xf numFmtId="0" fontId="11" fillId="0" borderId="0" xfId="1" applyFont="1" applyAlignment="1">
      <alignment vertical="center"/>
    </xf>
    <xf numFmtId="0" fontId="5" fillId="0" borderId="0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protection locked="0"/>
    </xf>
    <xf numFmtId="0" fontId="11" fillId="0" borderId="24" xfId="2" applyFont="1" applyFill="1" applyBorder="1" applyAlignment="1">
      <alignment vertical="center" shrinkToFit="1"/>
    </xf>
    <xf numFmtId="0" fontId="11" fillId="0" borderId="26" xfId="2" applyFont="1" applyFill="1" applyBorder="1" applyAlignment="1">
      <alignment vertical="center" shrinkToFit="1"/>
    </xf>
    <xf numFmtId="38" fontId="18" fillId="0" borderId="27" xfId="3" applyFont="1" applyFill="1" applyBorder="1" applyAlignment="1">
      <alignment horizontal="right" vertical="top"/>
    </xf>
    <xf numFmtId="38" fontId="16" fillId="0" borderId="28" xfId="3" applyFont="1" applyFill="1" applyBorder="1" applyAlignment="1">
      <alignment horizontal="right" vertical="top"/>
    </xf>
    <xf numFmtId="38" fontId="6" fillId="0" borderId="26" xfId="3" applyFont="1" applyFill="1" applyBorder="1" applyAlignment="1">
      <alignment horizontal="right" vertical="top"/>
    </xf>
    <xf numFmtId="38" fontId="6" fillId="0" borderId="24" xfId="3" applyFont="1" applyFill="1" applyBorder="1" applyAlignment="1">
      <alignment horizontal="right" vertical="top"/>
    </xf>
    <xf numFmtId="38" fontId="6" fillId="0" borderId="29" xfId="3" applyFont="1" applyFill="1" applyBorder="1" applyAlignment="1">
      <alignment horizontal="right" vertical="top"/>
    </xf>
    <xf numFmtId="0" fontId="6" fillId="0" borderId="30" xfId="2" applyFont="1" applyFill="1" applyBorder="1" applyAlignment="1">
      <alignment horizontal="right" vertical="top"/>
    </xf>
    <xf numFmtId="0" fontId="6" fillId="0" borderId="31" xfId="2" applyFont="1" applyFill="1" applyBorder="1" applyAlignment="1">
      <alignment horizontal="right" vertical="top"/>
    </xf>
    <xf numFmtId="0" fontId="6" fillId="0" borderId="6" xfId="2" applyFont="1" applyFill="1" applyBorder="1" applyAlignment="1">
      <alignment horizontal="right" vertical="top"/>
    </xf>
    <xf numFmtId="0" fontId="6" fillId="0" borderId="25" xfId="2" applyFont="1" applyFill="1" applyBorder="1" applyAlignment="1">
      <alignment horizontal="right" vertical="top"/>
    </xf>
    <xf numFmtId="0" fontId="6" fillId="0" borderId="26" xfId="2" applyFont="1" applyFill="1" applyBorder="1" applyAlignment="1">
      <alignment horizontal="right" vertical="top"/>
    </xf>
    <xf numFmtId="0" fontId="6" fillId="0" borderId="24" xfId="2" applyFont="1" applyFill="1" applyBorder="1" applyAlignment="1">
      <alignment horizontal="right" vertical="top"/>
    </xf>
    <xf numFmtId="0" fontId="6" fillId="0" borderId="27" xfId="2" applyFont="1" applyFill="1" applyBorder="1" applyAlignment="1">
      <alignment horizontal="right" vertical="top"/>
    </xf>
    <xf numFmtId="0" fontId="5" fillId="0" borderId="28" xfId="2" applyFont="1" applyFill="1" applyBorder="1" applyAlignment="1">
      <alignment horizontal="right" vertical="top"/>
    </xf>
    <xf numFmtId="0" fontId="5" fillId="0" borderId="26" xfId="2" applyFont="1" applyFill="1" applyBorder="1" applyAlignment="1">
      <alignment horizontal="right" vertical="top"/>
    </xf>
    <xf numFmtId="0" fontId="5" fillId="0" borderId="24" xfId="2" applyFont="1" applyFill="1" applyBorder="1" applyAlignment="1">
      <alignment horizontal="right" vertical="top"/>
    </xf>
    <xf numFmtId="0" fontId="16" fillId="0" borderId="0" xfId="1" applyFont="1" applyBorder="1" applyAlignment="1">
      <alignment vertical="center"/>
    </xf>
    <xf numFmtId="0" fontId="11" fillId="0" borderId="12" xfId="2" applyFont="1" applyFill="1" applyBorder="1" applyAlignment="1">
      <alignment vertical="center" shrinkToFit="1"/>
    </xf>
    <xf numFmtId="0" fontId="11" fillId="0" borderId="13" xfId="2" applyFont="1" applyFill="1" applyBorder="1" applyAlignment="1">
      <alignment vertical="center" shrinkToFit="1"/>
    </xf>
    <xf numFmtId="0" fontId="10" fillId="0" borderId="0" xfId="1" applyFont="1" applyBorder="1" applyAlignment="1">
      <alignment vertical="center"/>
    </xf>
    <xf numFmtId="3" fontId="11" fillId="0" borderId="9" xfId="1" applyNumberFormat="1" applyFont="1" applyBorder="1" applyAlignment="1">
      <alignment vertical="center"/>
    </xf>
    <xf numFmtId="3" fontId="10" fillId="0" borderId="9" xfId="1" applyNumberFormat="1" applyFont="1" applyBorder="1" applyAlignment="1">
      <alignment vertical="center"/>
    </xf>
    <xf numFmtId="0" fontId="11" fillId="0" borderId="0" xfId="2" applyFont="1" applyFill="1" applyBorder="1" applyAlignment="1">
      <alignment horizontal="center"/>
    </xf>
    <xf numFmtId="0" fontId="16" fillId="0" borderId="0" xfId="1" applyFont="1" applyBorder="1" applyAlignment="1">
      <alignment horizontal="center" vertical="center"/>
    </xf>
    <xf numFmtId="0" fontId="11" fillId="0" borderId="25" xfId="1" applyFont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vertical="center"/>
      <protection locked="0"/>
    </xf>
    <xf numFmtId="0" fontId="11" fillId="0" borderId="8" xfId="1" applyFont="1" applyBorder="1" applyAlignment="1" applyProtection="1">
      <alignment vertical="center"/>
      <protection locked="0"/>
    </xf>
    <xf numFmtId="0" fontId="11" fillId="0" borderId="8" xfId="2" applyFont="1" applyFill="1" applyBorder="1"/>
    <xf numFmtId="0" fontId="11" fillId="0" borderId="13" xfId="1" applyFont="1" applyBorder="1" applyAlignment="1" applyProtection="1">
      <alignment vertical="center"/>
      <protection locked="0"/>
    </xf>
    <xf numFmtId="0" fontId="16" fillId="0" borderId="0" xfId="2" applyFont="1" applyFill="1" applyBorder="1" applyAlignment="1"/>
    <xf numFmtId="38" fontId="19" fillId="0" borderId="0" xfId="3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left" indent="1"/>
    </xf>
    <xf numFmtId="0" fontId="5" fillId="0" borderId="24" xfId="2" applyFont="1" applyFill="1" applyBorder="1" applyAlignment="1">
      <alignment horizontal="left" vertical="top"/>
    </xf>
    <xf numFmtId="0" fontId="5" fillId="0" borderId="25" xfId="2" applyFont="1" applyFill="1" applyBorder="1" applyAlignment="1">
      <alignment horizontal="left" vertical="top"/>
    </xf>
    <xf numFmtId="0" fontId="11" fillId="0" borderId="26" xfId="2" applyFont="1" applyFill="1" applyBorder="1"/>
    <xf numFmtId="0" fontId="11" fillId="0" borderId="13" xfId="2" applyFont="1" applyFill="1" applyBorder="1" applyAlignment="1">
      <alignment horizontal="center"/>
    </xf>
    <xf numFmtId="0" fontId="11" fillId="0" borderId="26" xfId="2" applyFont="1" applyFill="1" applyBorder="1" applyAlignment="1">
      <alignment horizontal="center"/>
    </xf>
    <xf numFmtId="0" fontId="11" fillId="0" borderId="37" xfId="2" applyFont="1" applyFill="1" applyBorder="1" applyAlignment="1">
      <alignment horizontal="center"/>
    </xf>
    <xf numFmtId="0" fontId="11" fillId="0" borderId="4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16" fillId="0" borderId="0" xfId="2" applyFont="1" applyFill="1" applyBorder="1" applyAlignment="1">
      <alignment horizontal="right"/>
    </xf>
    <xf numFmtId="0" fontId="5" fillId="0" borderId="25" xfId="1" quotePrefix="1" applyFont="1" applyBorder="1" applyAlignment="1" applyProtection="1">
      <alignment vertical="center"/>
      <protection locked="0"/>
    </xf>
    <xf numFmtId="0" fontId="5" fillId="0" borderId="25" xfId="1" applyFont="1" applyBorder="1" applyAlignment="1">
      <alignment vertical="center"/>
    </xf>
    <xf numFmtId="0" fontId="5" fillId="0" borderId="0" xfId="1" quotePrefix="1" applyFont="1" applyBorder="1" applyAlignment="1" applyProtection="1">
      <alignment vertical="center"/>
      <protection locked="0"/>
    </xf>
    <xf numFmtId="0" fontId="5" fillId="0" borderId="8" xfId="1" quotePrefix="1" applyFont="1" applyBorder="1" applyAlignment="1" applyProtection="1">
      <alignment vertical="center"/>
      <protection locked="0"/>
    </xf>
    <xf numFmtId="0" fontId="5" fillId="0" borderId="8" xfId="1" applyFont="1" applyBorder="1" applyAlignment="1">
      <alignment vertical="center"/>
    </xf>
    <xf numFmtId="0" fontId="11" fillId="0" borderId="0" xfId="2" applyFont="1" applyFill="1" applyBorder="1" applyAlignment="1">
      <alignment vertical="center" shrinkToFit="1"/>
    </xf>
    <xf numFmtId="0" fontId="6" fillId="0" borderId="0" xfId="2" applyFont="1" applyFill="1" applyBorder="1" applyAlignment="1">
      <alignment shrinkToFit="1"/>
    </xf>
    <xf numFmtId="0" fontId="21" fillId="0" borderId="24" xfId="4" applyFont="1" applyBorder="1">
      <alignment vertical="center"/>
    </xf>
    <xf numFmtId="0" fontId="21" fillId="0" borderId="25" xfId="4" applyFont="1" applyBorder="1">
      <alignment vertical="center"/>
    </xf>
    <xf numFmtId="0" fontId="21" fillId="0" borderId="26" xfId="4" applyFont="1" applyBorder="1">
      <alignment vertical="center"/>
    </xf>
    <xf numFmtId="0" fontId="21" fillId="0" borderId="0" xfId="4" applyFont="1">
      <alignment vertical="center"/>
    </xf>
    <xf numFmtId="0" fontId="22" fillId="0" borderId="0" xfId="4" applyFont="1">
      <alignment vertical="center"/>
    </xf>
    <xf numFmtId="0" fontId="21" fillId="0" borderId="44" xfId="4" applyFont="1" applyBorder="1">
      <alignment vertical="center"/>
    </xf>
    <xf numFmtId="0" fontId="22" fillId="0" borderId="0" xfId="4" applyFont="1" applyAlignment="1">
      <alignment horizontal="right" vertical="center"/>
    </xf>
    <xf numFmtId="0" fontId="21" fillId="0" borderId="37" xfId="4" applyFont="1" applyBorder="1">
      <alignment vertical="center"/>
    </xf>
    <xf numFmtId="0" fontId="21" fillId="0" borderId="0" xfId="4" applyFont="1" applyAlignment="1">
      <alignment horizontal="right" vertical="center"/>
    </xf>
    <xf numFmtId="0" fontId="21" fillId="0" borderId="0" xfId="4" applyFont="1" applyAlignment="1">
      <alignment horizontal="center" vertical="center"/>
    </xf>
    <xf numFmtId="0" fontId="23" fillId="0" borderId="0" xfId="4" applyFont="1">
      <alignment vertical="center"/>
    </xf>
    <xf numFmtId="0" fontId="21" fillId="0" borderId="65" xfId="4" applyFont="1" applyBorder="1">
      <alignment vertical="center"/>
    </xf>
    <xf numFmtId="0" fontId="21" fillId="0" borderId="66" xfId="4" applyFont="1" applyBorder="1">
      <alignment vertical="center"/>
    </xf>
    <xf numFmtId="0" fontId="21" fillId="0" borderId="65" xfId="4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67" xfId="4" applyFont="1" applyBorder="1">
      <alignment vertical="center"/>
    </xf>
    <xf numFmtId="0" fontId="21" fillId="0" borderId="68" xfId="4" applyFont="1" applyBorder="1">
      <alignment vertical="center"/>
    </xf>
    <xf numFmtId="0" fontId="21" fillId="0" borderId="69" xfId="4" applyFont="1" applyBorder="1">
      <alignment vertical="center"/>
    </xf>
    <xf numFmtId="0" fontId="21" fillId="0" borderId="70" xfId="4" applyFont="1" applyBorder="1">
      <alignment vertical="center"/>
    </xf>
    <xf numFmtId="0" fontId="21" fillId="0" borderId="71" xfId="4" applyFont="1" applyBorder="1">
      <alignment vertical="center"/>
    </xf>
    <xf numFmtId="0" fontId="21" fillId="0" borderId="72" xfId="4" applyFont="1" applyBorder="1">
      <alignment vertical="center"/>
    </xf>
    <xf numFmtId="0" fontId="21" fillId="0" borderId="49" xfId="4" applyFont="1" applyBorder="1">
      <alignment vertical="center"/>
    </xf>
    <xf numFmtId="0" fontId="21" fillId="0" borderId="73" xfId="4" applyFont="1" applyBorder="1">
      <alignment vertical="center"/>
    </xf>
    <xf numFmtId="0" fontId="21" fillId="0" borderId="74" xfId="4" applyFont="1" applyBorder="1">
      <alignment vertical="center"/>
    </xf>
    <xf numFmtId="0" fontId="21" fillId="0" borderId="75" xfId="4" applyFont="1" applyBorder="1">
      <alignment vertical="center"/>
    </xf>
    <xf numFmtId="0" fontId="21" fillId="0" borderId="61" xfId="4" applyFont="1" applyBorder="1">
      <alignment vertical="center"/>
    </xf>
    <xf numFmtId="0" fontId="21" fillId="2" borderId="24" xfId="4" applyFont="1" applyFill="1" applyBorder="1">
      <alignment vertical="center"/>
    </xf>
    <xf numFmtId="0" fontId="21" fillId="2" borderId="74" xfId="4" applyFont="1" applyFill="1" applyBorder="1">
      <alignment vertical="center"/>
    </xf>
    <xf numFmtId="0" fontId="21" fillId="2" borderId="26" xfId="4" applyFont="1" applyFill="1" applyBorder="1">
      <alignment vertical="center"/>
    </xf>
    <xf numFmtId="0" fontId="21" fillId="2" borderId="10" xfId="4" applyFont="1" applyFill="1" applyBorder="1">
      <alignment vertical="center"/>
    </xf>
    <xf numFmtId="0" fontId="21" fillId="2" borderId="9" xfId="4" applyFont="1" applyFill="1" applyBorder="1">
      <alignment vertical="center"/>
    </xf>
    <xf numFmtId="0" fontId="21" fillId="2" borderId="76" xfId="4" applyFont="1" applyFill="1" applyBorder="1">
      <alignment vertical="center"/>
    </xf>
    <xf numFmtId="0" fontId="21" fillId="2" borderId="11" xfId="4" applyFont="1" applyFill="1" applyBorder="1">
      <alignment vertical="center"/>
    </xf>
    <xf numFmtId="0" fontId="21" fillId="2" borderId="68" xfId="4" applyFont="1" applyFill="1" applyBorder="1">
      <alignment vertical="center"/>
    </xf>
    <xf numFmtId="0" fontId="21" fillId="2" borderId="37" xfId="4" applyFont="1" applyFill="1" applyBorder="1">
      <alignment vertical="center"/>
    </xf>
    <xf numFmtId="0" fontId="21" fillId="2" borderId="12" xfId="4" applyFont="1" applyFill="1" applyBorder="1">
      <alignment vertical="center"/>
    </xf>
    <xf numFmtId="0" fontId="21" fillId="2" borderId="77" xfId="4" applyFont="1" applyFill="1" applyBorder="1">
      <alignment vertical="center"/>
    </xf>
    <xf numFmtId="0" fontId="21" fillId="2" borderId="13" xfId="4" applyFont="1" applyFill="1" applyBorder="1">
      <alignment vertical="center"/>
    </xf>
    <xf numFmtId="0" fontId="21" fillId="0" borderId="8" xfId="4" applyFont="1" applyBorder="1">
      <alignment vertical="center"/>
    </xf>
    <xf numFmtId="0" fontId="21" fillId="0" borderId="12" xfId="4" applyFont="1" applyBorder="1">
      <alignment vertical="center"/>
    </xf>
    <xf numFmtId="0" fontId="21" fillId="0" borderId="78" xfId="4" applyFont="1" applyBorder="1">
      <alignment vertical="center"/>
    </xf>
    <xf numFmtId="0" fontId="21" fillId="0" borderId="79" xfId="4" applyFont="1" applyBorder="1">
      <alignment vertical="center"/>
    </xf>
    <xf numFmtId="0" fontId="21" fillId="0" borderId="80" xfId="4" applyFont="1" applyBorder="1">
      <alignment vertical="center"/>
    </xf>
    <xf numFmtId="0" fontId="21" fillId="0" borderId="81" xfId="4" applyFont="1" applyBorder="1">
      <alignment vertical="center"/>
    </xf>
    <xf numFmtId="0" fontId="21" fillId="0" borderId="77" xfId="4" applyFont="1" applyBorder="1">
      <alignment vertical="center"/>
    </xf>
    <xf numFmtId="0" fontId="21" fillId="0" borderId="82" xfId="4" applyFont="1" applyBorder="1">
      <alignment vertical="center"/>
    </xf>
    <xf numFmtId="0" fontId="21" fillId="0" borderId="13" xfId="4" applyFont="1" applyBorder="1">
      <alignment vertical="center"/>
    </xf>
    <xf numFmtId="0" fontId="21" fillId="0" borderId="83" xfId="4" applyFont="1" applyBorder="1">
      <alignment vertical="center"/>
    </xf>
    <xf numFmtId="0" fontId="21" fillId="0" borderId="44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/>
    </xf>
    <xf numFmtId="0" fontId="22" fillId="0" borderId="85" xfId="4" applyFont="1" applyBorder="1">
      <alignment vertical="center"/>
    </xf>
    <xf numFmtId="0" fontId="21" fillId="0" borderId="87" xfId="4" applyFont="1" applyBorder="1">
      <alignment vertical="center"/>
    </xf>
    <xf numFmtId="0" fontId="21" fillId="0" borderId="88" xfId="4" applyFont="1" applyBorder="1">
      <alignment vertical="center"/>
    </xf>
    <xf numFmtId="0" fontId="21" fillId="0" borderId="89" xfId="4" applyFont="1" applyBorder="1">
      <alignment vertical="center"/>
    </xf>
    <xf numFmtId="0" fontId="21" fillId="0" borderId="85" xfId="4" applyFont="1" applyBorder="1">
      <alignment vertical="center"/>
    </xf>
    <xf numFmtId="0" fontId="21" fillId="0" borderId="65" xfId="4" applyFont="1" applyBorder="1" applyAlignment="1" applyProtection="1">
      <alignment horizontal="center" vertical="center" textRotation="90"/>
      <protection locked="0"/>
    </xf>
    <xf numFmtId="0" fontId="21" fillId="0" borderId="90" xfId="4" applyFont="1" applyBorder="1" applyAlignment="1" applyProtection="1">
      <alignment horizontal="center" vertical="center" textRotation="90"/>
      <protection locked="0"/>
    </xf>
    <xf numFmtId="0" fontId="21" fillId="0" borderId="10" xfId="4" applyFont="1" applyBorder="1">
      <alignment vertical="center"/>
    </xf>
    <xf numFmtId="0" fontId="28" fillId="0" borderId="0" xfId="4" applyFont="1">
      <alignment vertical="center"/>
    </xf>
    <xf numFmtId="0" fontId="28" fillId="0" borderId="94" xfId="4" applyFont="1" applyBorder="1">
      <alignment vertical="center"/>
    </xf>
    <xf numFmtId="0" fontId="32" fillId="0" borderId="0" xfId="4" applyFont="1" applyAlignment="1">
      <alignment horizontal="center" vertical="center"/>
    </xf>
    <xf numFmtId="0" fontId="21" fillId="0" borderId="94" xfId="4" applyFont="1" applyBorder="1">
      <alignment vertical="center"/>
    </xf>
    <xf numFmtId="0" fontId="21" fillId="0" borderId="0" xfId="4" applyFont="1" applyAlignment="1">
      <alignment vertical="center" shrinkToFit="1"/>
    </xf>
    <xf numFmtId="0" fontId="21" fillId="0" borderId="0" xfId="4" applyFont="1" applyBorder="1">
      <alignment vertical="center"/>
    </xf>
    <xf numFmtId="0" fontId="22" fillId="0" borderId="0" xfId="4" applyFont="1" applyBorder="1">
      <alignment vertical="center"/>
    </xf>
    <xf numFmtId="0" fontId="23" fillId="0" borderId="0" xfId="4" applyFont="1" applyBorder="1">
      <alignment vertical="center"/>
    </xf>
    <xf numFmtId="0" fontId="22" fillId="0" borderId="0" xfId="4" applyFont="1" applyBorder="1" applyAlignment="1">
      <alignment horizontal="right" vertical="center"/>
    </xf>
    <xf numFmtId="0" fontId="21" fillId="0" borderId="0" xfId="4" applyFont="1" applyBorder="1" applyAlignment="1">
      <alignment horizontal="right" vertical="center"/>
    </xf>
    <xf numFmtId="0" fontId="21" fillId="0" borderId="0" xfId="4" applyFont="1" applyBorder="1" applyAlignment="1">
      <alignment horizontal="center" vertical="center"/>
    </xf>
    <xf numFmtId="0" fontId="22" fillId="0" borderId="0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/>
    </xf>
    <xf numFmtId="0" fontId="29" fillId="0" borderId="0" xfId="4" applyFont="1" applyBorder="1">
      <alignment vertical="center"/>
    </xf>
    <xf numFmtId="0" fontId="21" fillId="0" borderId="0" xfId="4" applyFont="1" applyBorder="1" applyAlignment="1">
      <alignment horizontal="center" vertical="center" textRotation="90"/>
    </xf>
    <xf numFmtId="0" fontId="28" fillId="0" borderId="0" xfId="4" applyFont="1" applyBorder="1" applyAlignment="1"/>
    <xf numFmtId="0" fontId="21" fillId="0" borderId="0" xfId="4" applyFont="1" applyBorder="1" applyAlignment="1">
      <alignment horizontal="right"/>
    </xf>
    <xf numFmtId="0" fontId="21" fillId="0" borderId="0" xfId="4" applyFont="1" applyBorder="1" applyAlignment="1"/>
    <xf numFmtId="0" fontId="30" fillId="0" borderId="0" xfId="4" applyFont="1" applyBorder="1" applyAlignment="1">
      <alignment horizontal="right" vertical="center"/>
    </xf>
    <xf numFmtId="0" fontId="31" fillId="0" borderId="0" xfId="4" applyFont="1" applyBorder="1" applyAlignment="1"/>
    <xf numFmtId="0" fontId="31" fillId="0" borderId="0" xfId="4" applyFont="1" applyBorder="1" applyAlignment="1">
      <alignment vertical="top"/>
    </xf>
    <xf numFmtId="0" fontId="21" fillId="0" borderId="0" xfId="4" applyFont="1" applyBorder="1" applyAlignment="1">
      <alignment vertical="top"/>
    </xf>
    <xf numFmtId="0" fontId="28" fillId="0" borderId="0" xfId="4" applyFont="1" applyBorder="1">
      <alignment vertical="center"/>
    </xf>
    <xf numFmtId="0" fontId="28" fillId="0" borderId="0" xfId="4" applyFont="1" applyBorder="1" applyAlignment="1">
      <alignment horizontal="right" vertical="center"/>
    </xf>
    <xf numFmtId="0" fontId="28" fillId="0" borderId="0" xfId="4" applyFont="1" applyBorder="1" applyAlignment="1">
      <alignment horizontal="center" vertical="center"/>
    </xf>
    <xf numFmtId="0" fontId="28" fillId="0" borderId="0" xfId="4" applyFont="1" applyBorder="1" applyAlignment="1">
      <alignment horizontal="left" vertical="center"/>
    </xf>
    <xf numFmtId="0" fontId="21" fillId="0" borderId="0" xfId="4" applyFont="1" applyBorder="1" applyAlignment="1">
      <alignment horizontal="center" vertical="center" shrinkToFit="1"/>
    </xf>
    <xf numFmtId="0" fontId="21" fillId="0" borderId="0" xfId="4" applyFont="1" applyFill="1" applyBorder="1">
      <alignment vertical="center"/>
    </xf>
    <xf numFmtId="0" fontId="33" fillId="0" borderId="0" xfId="4" applyFont="1" applyBorder="1">
      <alignment vertical="center"/>
    </xf>
    <xf numFmtId="0" fontId="33" fillId="0" borderId="0" xfId="4" applyFont="1" applyBorder="1" applyAlignment="1">
      <alignment vertical="center"/>
    </xf>
    <xf numFmtId="0" fontId="22" fillId="0" borderId="0" xfId="4" applyFont="1" applyBorder="1" applyAlignment="1">
      <alignment vertical="center"/>
    </xf>
    <xf numFmtId="0" fontId="33" fillId="0" borderId="0" xfId="4" applyFont="1">
      <alignment vertical="center"/>
    </xf>
    <xf numFmtId="0" fontId="34" fillId="0" borderId="0" xfId="0" applyFont="1" applyAlignment="1">
      <alignment vertical="center"/>
    </xf>
    <xf numFmtId="0" fontId="35" fillId="0" borderId="0" xfId="4" applyFont="1">
      <alignment vertical="center"/>
    </xf>
    <xf numFmtId="0" fontId="2" fillId="0" borderId="0" xfId="4" applyFont="1" applyBorder="1">
      <alignment vertical="center"/>
    </xf>
    <xf numFmtId="0" fontId="22" fillId="0" borderId="0" xfId="4" applyFont="1" applyFill="1">
      <alignment vertical="center"/>
    </xf>
    <xf numFmtId="38" fontId="22" fillId="0" borderId="0" xfId="4" applyNumberFormat="1" applyFont="1" applyFill="1">
      <alignment vertical="center"/>
    </xf>
    <xf numFmtId="0" fontId="35" fillId="0" borderId="0" xfId="4" applyFont="1" applyFill="1">
      <alignment vertical="center"/>
    </xf>
    <xf numFmtId="0" fontId="2" fillId="0" borderId="0" xfId="4" applyFont="1" applyFill="1" applyBorder="1">
      <alignment vertical="center"/>
    </xf>
    <xf numFmtId="0" fontId="33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center" vertical="center"/>
    </xf>
    <xf numFmtId="0" fontId="21" fillId="5" borderId="0" xfId="4" applyFont="1" applyFill="1" applyBorder="1">
      <alignment vertical="center"/>
    </xf>
    <xf numFmtId="0" fontId="21" fillId="5" borderId="0" xfId="4" applyFont="1" applyFill="1" applyBorder="1" applyAlignment="1" applyProtection="1">
      <alignment horizontal="center" vertical="center"/>
      <protection locked="0"/>
    </xf>
    <xf numFmtId="0" fontId="21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 shrinkToFit="1"/>
    </xf>
    <xf numFmtId="2" fontId="21" fillId="0" borderId="0" xfId="4" applyNumberFormat="1" applyFont="1">
      <alignment vertical="center"/>
    </xf>
    <xf numFmtId="0" fontId="21" fillId="0" borderId="0" xfId="4" applyFont="1">
      <alignment vertical="center"/>
    </xf>
    <xf numFmtId="0" fontId="21" fillId="0" borderId="99" xfId="4" applyFont="1" applyBorder="1" applyAlignment="1">
      <alignment horizontal="center" vertical="center" shrinkToFit="1"/>
    </xf>
    <xf numFmtId="0" fontId="21" fillId="0" borderId="64" xfId="4" applyFont="1" applyBorder="1" applyAlignment="1">
      <alignment horizontal="center" vertical="center" shrinkToFit="1"/>
    </xf>
    <xf numFmtId="0" fontId="21" fillId="0" borderId="3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 shrinkToFit="1"/>
    </xf>
    <xf numFmtId="0" fontId="21" fillId="0" borderId="98" xfId="4" applyFont="1" applyBorder="1" applyAlignment="1">
      <alignment horizontal="center" vertical="center" shrinkToFit="1"/>
    </xf>
    <xf numFmtId="0" fontId="21" fillId="0" borderId="59" xfId="4" applyFont="1" applyBorder="1" applyAlignment="1">
      <alignment horizontal="center" vertical="center" shrinkToFit="1"/>
    </xf>
    <xf numFmtId="0" fontId="21" fillId="0" borderId="2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 shrinkToFit="1"/>
    </xf>
    <xf numFmtId="0" fontId="21" fillId="0" borderId="95" xfId="4" applyFont="1" applyBorder="1" applyAlignment="1">
      <alignment horizontal="center" vertical="center"/>
    </xf>
    <xf numFmtId="0" fontId="21" fillId="0" borderId="96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 shrinkToFit="1"/>
    </xf>
    <xf numFmtId="0" fontId="21" fillId="0" borderId="97" xfId="4" applyFont="1" applyBorder="1" applyAlignment="1">
      <alignment horizontal="center" vertical="center" shrinkToFit="1"/>
    </xf>
    <xf numFmtId="0" fontId="21" fillId="0" borderId="53" xfId="4" applyFont="1" applyBorder="1" applyAlignment="1">
      <alignment horizontal="center" vertical="center" shrinkToFit="1"/>
    </xf>
    <xf numFmtId="0" fontId="21" fillId="3" borderId="0" xfId="4" applyFont="1" applyFill="1" applyAlignment="1" applyProtection="1">
      <alignment horizontal="center" vertical="center"/>
      <protection locked="0"/>
    </xf>
    <xf numFmtId="0" fontId="21" fillId="0" borderId="0" xfId="4" applyFont="1" applyAlignment="1">
      <alignment horizontal="right" vertical="center"/>
    </xf>
    <xf numFmtId="0" fontId="21" fillId="0" borderId="10" xfId="4" applyFont="1" applyBorder="1">
      <alignment vertical="center"/>
    </xf>
    <xf numFmtId="0" fontId="21" fillId="0" borderId="11" xfId="4" applyFont="1" applyBorder="1">
      <alignment vertical="center"/>
    </xf>
    <xf numFmtId="0" fontId="21" fillId="0" borderId="9" xfId="4" applyFont="1" applyBorder="1">
      <alignment vertical="center"/>
    </xf>
    <xf numFmtId="0" fontId="21" fillId="0" borderId="7" xfId="4" applyFont="1" applyBorder="1" applyAlignment="1">
      <alignment horizontal="center" vertical="center"/>
    </xf>
    <xf numFmtId="0" fontId="21" fillId="0" borderId="7" xfId="4" applyFont="1" applyBorder="1">
      <alignment vertical="center"/>
    </xf>
    <xf numFmtId="0" fontId="28" fillId="0" borderId="95" xfId="4" applyFont="1" applyBorder="1" applyAlignment="1">
      <alignment horizontal="center" vertical="center"/>
    </xf>
    <xf numFmtId="0" fontId="28" fillId="0" borderId="96" xfId="4" applyFont="1" applyBorder="1" applyAlignment="1">
      <alignment horizontal="center" vertical="center"/>
    </xf>
    <xf numFmtId="0" fontId="21" fillId="5" borderId="9" xfId="4" applyFont="1" applyFill="1" applyBorder="1" applyAlignment="1" applyProtection="1">
      <alignment horizontal="center" vertical="center"/>
      <protection locked="0"/>
    </xf>
    <xf numFmtId="0" fontId="28" fillId="0" borderId="93" xfId="4" applyFont="1" applyBorder="1" applyAlignment="1">
      <alignment horizontal="center" vertical="center"/>
    </xf>
    <xf numFmtId="0" fontId="21" fillId="4" borderId="0" xfId="4" applyFont="1" applyFill="1">
      <alignment vertical="center"/>
    </xf>
    <xf numFmtId="0" fontId="21" fillId="5" borderId="9" xfId="4" applyFont="1" applyFill="1" applyBorder="1" applyAlignment="1" applyProtection="1">
      <alignment horizontal="center" vertical="center" shrinkToFit="1"/>
      <protection locked="0"/>
    </xf>
    <xf numFmtId="0" fontId="21" fillId="0" borderId="0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 shrinkToFit="1"/>
    </xf>
    <xf numFmtId="0" fontId="21" fillId="0" borderId="25" xfId="4" applyFont="1" applyFill="1" applyBorder="1" applyAlignment="1">
      <alignment horizontal="center" vertical="center" textRotation="90"/>
    </xf>
    <xf numFmtId="0" fontId="21" fillId="0" borderId="0" xfId="4" applyFont="1" applyFill="1" applyBorder="1" applyAlignment="1">
      <alignment horizontal="center" vertical="center" textRotation="90"/>
    </xf>
    <xf numFmtId="185" fontId="21" fillId="0" borderId="0" xfId="4" applyNumberFormat="1" applyFont="1" applyBorder="1" applyAlignment="1">
      <alignment horizontal="right" vertical="center"/>
    </xf>
    <xf numFmtId="0" fontId="21" fillId="0" borderId="0" xfId="4" applyFont="1" applyBorder="1" applyAlignment="1">
      <alignment horizontal="right" vertical="center"/>
    </xf>
    <xf numFmtId="40" fontId="28" fillId="0" borderId="0" xfId="4" applyNumberFormat="1" applyFont="1" applyBorder="1" applyAlignment="1">
      <alignment horizontal="center" vertical="center"/>
    </xf>
    <xf numFmtId="0" fontId="21" fillId="5" borderId="8" xfId="4" applyFont="1" applyFill="1" applyBorder="1" applyAlignment="1" applyProtection="1">
      <alignment horizontal="center" vertical="center" shrinkToFit="1"/>
      <protection locked="0"/>
    </xf>
    <xf numFmtId="0" fontId="28" fillId="0" borderId="0" xfId="4" applyFont="1" applyFill="1" applyBorder="1" applyAlignment="1" applyProtection="1">
      <alignment horizontal="center" vertical="center"/>
      <protection locked="0"/>
    </xf>
    <xf numFmtId="0" fontId="28" fillId="0" borderId="0" xfId="4" applyFont="1" applyBorder="1" applyAlignment="1">
      <alignment horizontal="center" vertical="center"/>
    </xf>
    <xf numFmtId="0" fontId="22" fillId="0" borderId="0" xfId="4" applyFont="1" applyBorder="1" applyAlignment="1">
      <alignment vertical="center"/>
    </xf>
    <xf numFmtId="0" fontId="34" fillId="0" borderId="0" xfId="0" applyFont="1" applyAlignment="1">
      <alignment vertical="center"/>
    </xf>
    <xf numFmtId="0" fontId="21" fillId="0" borderId="0" xfId="4" applyFont="1" applyBorder="1" applyAlignment="1">
      <alignment horizontal="center" vertical="top" textRotation="90"/>
    </xf>
    <xf numFmtId="0" fontId="21" fillId="0" borderId="25" xfId="4" applyFont="1" applyBorder="1" applyAlignment="1">
      <alignment horizontal="center" vertical="center" textRotation="90"/>
    </xf>
    <xf numFmtId="0" fontId="21" fillId="0" borderId="0" xfId="4" applyFont="1" applyBorder="1" applyAlignment="1">
      <alignment horizontal="center" vertical="center" textRotation="90"/>
    </xf>
    <xf numFmtId="0" fontId="21" fillId="0" borderId="44" xfId="4" applyFont="1" applyBorder="1" applyAlignment="1">
      <alignment horizontal="center" vertical="center"/>
    </xf>
    <xf numFmtId="0" fontId="21" fillId="0" borderId="66" xfId="4" applyFont="1" applyBorder="1" applyAlignment="1">
      <alignment horizontal="center" vertical="center"/>
    </xf>
    <xf numFmtId="2" fontId="21" fillId="0" borderId="0" xfId="4" applyNumberFormat="1" applyFont="1" applyBorder="1" applyAlignment="1">
      <alignment horizontal="center" vertical="center" textRotation="90"/>
    </xf>
    <xf numFmtId="0" fontId="21" fillId="0" borderId="37" xfId="4" applyFont="1" applyBorder="1" applyAlignment="1">
      <alignment horizontal="center" vertical="center" textRotation="90"/>
    </xf>
    <xf numFmtId="0" fontId="21" fillId="0" borderId="25" xfId="4" applyFont="1" applyBorder="1" applyAlignment="1">
      <alignment horizontal="center" vertical="center" textRotation="90" shrinkToFit="1"/>
    </xf>
    <xf numFmtId="0" fontId="21" fillId="0" borderId="8" xfId="4" applyFont="1" applyBorder="1" applyAlignment="1">
      <alignment horizontal="center" vertical="center" textRotation="90" shrinkToFit="1"/>
    </xf>
    <xf numFmtId="186" fontId="28" fillId="0" borderId="0" xfId="4" applyNumberFormat="1" applyFont="1" applyBorder="1" applyAlignment="1">
      <alignment horizontal="center" vertical="center" textRotation="90"/>
    </xf>
    <xf numFmtId="0" fontId="28" fillId="0" borderId="0" xfId="4" applyFont="1" applyBorder="1" applyAlignment="1">
      <alignment horizontal="center" vertical="center" textRotation="90"/>
    </xf>
    <xf numFmtId="0" fontId="21" fillId="0" borderId="0" xfId="4" applyFont="1" applyBorder="1" applyAlignment="1" applyProtection="1">
      <alignment horizontal="center"/>
      <protection locked="0"/>
    </xf>
    <xf numFmtId="0" fontId="21" fillId="0" borderId="8" xfId="4" applyFont="1" applyBorder="1" applyAlignment="1">
      <alignment horizontal="center" vertical="top" textRotation="90"/>
    </xf>
    <xf numFmtId="0" fontId="2" fillId="0" borderId="0" xfId="4" applyFont="1" applyBorder="1" applyAlignment="1">
      <alignment horizontal="center" vertical="center"/>
    </xf>
    <xf numFmtId="0" fontId="21" fillId="0" borderId="0" xfId="4" applyFont="1" applyBorder="1">
      <alignment vertical="center"/>
    </xf>
    <xf numFmtId="2" fontId="28" fillId="0" borderId="0" xfId="4" applyNumberFormat="1" applyFont="1" applyBorder="1" applyAlignment="1">
      <alignment horizontal="center" vertical="center" textRotation="90" shrinkToFit="1"/>
    </xf>
    <xf numFmtId="40" fontId="21" fillId="5" borderId="0" xfId="4" applyNumberFormat="1" applyFont="1" applyFill="1" applyBorder="1" applyAlignment="1" applyProtection="1">
      <alignment horizontal="center" vertical="center" textRotation="90"/>
      <protection locked="0"/>
    </xf>
    <xf numFmtId="0" fontId="22" fillId="0" borderId="0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 textRotation="255"/>
    </xf>
    <xf numFmtId="0" fontId="21" fillId="0" borderId="86" xfId="4" applyFont="1" applyBorder="1" applyAlignment="1">
      <alignment horizontal="center" vertical="center" textRotation="255"/>
    </xf>
    <xf numFmtId="0" fontId="21" fillId="0" borderId="0" xfId="4" applyFont="1" applyBorder="1" applyAlignment="1">
      <alignment horizontal="center" vertical="center" textRotation="255"/>
    </xf>
    <xf numFmtId="0" fontId="21" fillId="0" borderId="66" xfId="4" applyFont="1" applyBorder="1" applyAlignment="1">
      <alignment horizontal="center" vertical="center" textRotation="255"/>
    </xf>
    <xf numFmtId="0" fontId="21" fillId="0" borderId="91" xfId="4" applyFont="1" applyBorder="1" applyAlignment="1">
      <alignment horizontal="center" vertical="center" textRotation="255"/>
    </xf>
    <xf numFmtId="0" fontId="21" fillId="0" borderId="92" xfId="4" applyFont="1" applyBorder="1" applyAlignment="1">
      <alignment horizontal="center" vertical="center" textRotation="255"/>
    </xf>
    <xf numFmtId="0" fontId="21" fillId="0" borderId="85" xfId="4" applyFont="1" applyBorder="1" applyAlignment="1">
      <alignment horizontal="center" vertical="center" textRotation="255"/>
    </xf>
    <xf numFmtId="0" fontId="21" fillId="0" borderId="65" xfId="4" applyFont="1" applyBorder="1" applyAlignment="1">
      <alignment horizontal="center" vertical="center" textRotation="255"/>
    </xf>
    <xf numFmtId="0" fontId="21" fillId="0" borderId="90" xfId="4" applyFont="1" applyBorder="1" applyAlignment="1">
      <alignment horizontal="center" vertical="center" textRotation="255"/>
    </xf>
    <xf numFmtId="40" fontId="21" fillId="5" borderId="65" xfId="4" applyNumberFormat="1" applyFont="1" applyFill="1" applyBorder="1" applyAlignment="1" applyProtection="1">
      <alignment horizontal="center" vertical="center" textRotation="90"/>
      <protection locked="0"/>
    </xf>
    <xf numFmtId="0" fontId="21" fillId="0" borderId="0" xfId="4" applyFont="1" applyBorder="1" applyAlignment="1">
      <alignment horizontal="center"/>
    </xf>
    <xf numFmtId="0" fontId="21" fillId="0" borderId="8" xfId="4" applyFont="1" applyBorder="1" applyAlignment="1" applyProtection="1">
      <alignment horizontal="center" vertical="center" shrinkToFit="1"/>
      <protection locked="0"/>
    </xf>
    <xf numFmtId="0" fontId="21" fillId="0" borderId="8" xfId="4" applyFont="1" applyBorder="1">
      <alignment vertical="center"/>
    </xf>
    <xf numFmtId="0" fontId="21" fillId="0" borderId="84" xfId="4" applyFont="1" applyBorder="1" applyAlignment="1">
      <alignment horizontal="center" vertical="center"/>
    </xf>
    <xf numFmtId="0" fontId="21" fillId="0" borderId="83" xfId="4" applyFont="1" applyBorder="1" applyAlignment="1">
      <alignment horizontal="center" vertical="center"/>
    </xf>
    <xf numFmtId="185" fontId="21" fillId="0" borderId="0" xfId="4" applyNumberFormat="1" applyFont="1" applyBorder="1" applyAlignment="1">
      <alignment horizontal="center" vertical="center"/>
    </xf>
    <xf numFmtId="0" fontId="21" fillId="5" borderId="0" xfId="4" applyFont="1" applyFill="1" applyBorder="1" applyAlignment="1" applyProtection="1">
      <alignment horizontal="center" vertical="center"/>
      <protection locked="0"/>
    </xf>
    <xf numFmtId="0" fontId="26" fillId="0" borderId="0" xfId="4" applyFont="1" applyBorder="1" applyAlignment="1">
      <alignment horizontal="center"/>
    </xf>
    <xf numFmtId="0" fontId="21" fillId="0" borderId="0" xfId="4" applyFont="1" applyFill="1" applyBorder="1" applyAlignment="1">
      <alignment horizontal="right" vertical="center"/>
    </xf>
    <xf numFmtId="0" fontId="21" fillId="0" borderId="0" xfId="4" applyFont="1" applyFill="1" applyBorder="1" applyAlignment="1">
      <alignment horizontal="left" vertical="center"/>
    </xf>
    <xf numFmtId="40" fontId="21" fillId="0" borderId="0" xfId="4" applyNumberFormat="1" applyFont="1" applyBorder="1" applyAlignment="1">
      <alignment horizontal="center" vertical="center"/>
    </xf>
    <xf numFmtId="0" fontId="21" fillId="5" borderId="0" xfId="4" applyFont="1" applyFill="1" applyBorder="1" applyAlignment="1" applyProtection="1">
      <alignment vertical="center" shrinkToFit="1"/>
      <protection locked="0"/>
    </xf>
    <xf numFmtId="184" fontId="21" fillId="0" borderId="0" xfId="4" applyNumberFormat="1" applyFont="1" applyFill="1" applyBorder="1" applyAlignment="1">
      <alignment horizontal="center" vertical="center" textRotation="90"/>
    </xf>
    <xf numFmtId="0" fontId="21" fillId="0" borderId="44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21" fillId="0" borderId="66" xfId="4" applyFont="1" applyFill="1" applyBorder="1" applyAlignment="1">
      <alignment horizontal="center" vertical="center"/>
    </xf>
    <xf numFmtId="0" fontId="21" fillId="5" borderId="65" xfId="4" applyFont="1" applyFill="1" applyBorder="1" applyAlignment="1" applyProtection="1">
      <alignment horizontal="center" vertical="center"/>
      <protection locked="0"/>
    </xf>
    <xf numFmtId="0" fontId="21" fillId="5" borderId="37" xfId="4" applyFont="1" applyFill="1" applyBorder="1" applyAlignment="1" applyProtection="1">
      <alignment horizontal="center" vertical="center"/>
      <protection locked="0"/>
    </xf>
    <xf numFmtId="2" fontId="21" fillId="5" borderId="0" xfId="4" applyNumberFormat="1" applyFont="1" applyFill="1" applyBorder="1" applyAlignment="1" applyProtection="1">
      <alignment horizontal="center" vertical="center"/>
      <protection locked="0"/>
    </xf>
    <xf numFmtId="0" fontId="21" fillId="0" borderId="37" xfId="4" applyFont="1" applyFill="1" applyBorder="1" applyAlignment="1">
      <alignment horizontal="center" vertical="center"/>
    </xf>
    <xf numFmtId="0" fontId="21" fillId="0" borderId="44" xfId="4" applyFont="1" applyBorder="1" applyAlignment="1">
      <alignment horizontal="center" vertical="center" textRotation="255"/>
    </xf>
    <xf numFmtId="183" fontId="21" fillId="0" borderId="0" xfId="4" applyNumberFormat="1" applyFont="1" applyBorder="1" applyAlignment="1">
      <alignment horizontal="center" vertical="center"/>
    </xf>
    <xf numFmtId="182" fontId="21" fillId="5" borderId="0" xfId="4" applyNumberFormat="1" applyFont="1" applyFill="1" applyBorder="1" applyAlignment="1" applyProtection="1">
      <alignment horizontal="center" vertical="center"/>
      <protection locked="0"/>
    </xf>
    <xf numFmtId="0" fontId="21" fillId="0" borderId="25" xfId="4" applyFont="1" applyBorder="1">
      <alignment vertical="center"/>
    </xf>
    <xf numFmtId="0" fontId="22" fillId="5" borderId="0" xfId="4" applyFont="1" applyFill="1" applyBorder="1" applyAlignment="1" applyProtection="1">
      <alignment horizontal="center" vertical="center"/>
      <protection locked="0"/>
    </xf>
    <xf numFmtId="0" fontId="25" fillId="0" borderId="0" xfId="4" applyFont="1" applyBorder="1" applyAlignment="1">
      <alignment horizontal="center" vertical="center"/>
    </xf>
    <xf numFmtId="0" fontId="22" fillId="0" borderId="0" xfId="4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distributed" vertical="center"/>
    </xf>
    <xf numFmtId="179" fontId="7" fillId="0" borderId="0" xfId="1" applyNumberFormat="1" applyFont="1" applyFill="1" applyBorder="1" applyAlignment="1">
      <alignment horizontal="left" vertical="center" shrinkToFit="1"/>
    </xf>
    <xf numFmtId="180" fontId="11" fillId="0" borderId="0" xfId="1" applyNumberFormat="1" applyFont="1" applyAlignment="1">
      <alignment horizontal="left"/>
    </xf>
    <xf numFmtId="179" fontId="7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/>
    </xf>
    <xf numFmtId="0" fontId="11" fillId="0" borderId="24" xfId="2" applyFont="1" applyFill="1" applyBorder="1" applyAlignment="1">
      <alignment horizontal="center" vertical="center" shrinkToFit="1"/>
    </xf>
    <xf numFmtId="0" fontId="11" fillId="0" borderId="25" xfId="2" applyFont="1" applyFill="1" applyBorder="1" applyAlignment="1">
      <alignment horizontal="center" vertical="center" shrinkToFit="1"/>
    </xf>
    <xf numFmtId="0" fontId="11" fillId="0" borderId="26" xfId="2" applyFont="1" applyFill="1" applyBorder="1" applyAlignment="1">
      <alignment horizontal="center" vertical="center" shrinkToFit="1"/>
    </xf>
    <xf numFmtId="0" fontId="11" fillId="0" borderId="12" xfId="2" applyFont="1" applyFill="1" applyBorder="1" applyAlignment="1">
      <alignment horizontal="center" vertical="center" shrinkToFit="1"/>
    </xf>
    <xf numFmtId="0" fontId="11" fillId="0" borderId="8" xfId="2" applyFont="1" applyFill="1" applyBorder="1" applyAlignment="1">
      <alignment horizontal="center" vertical="center" shrinkToFit="1"/>
    </xf>
    <xf numFmtId="0" fontId="11" fillId="0" borderId="13" xfId="2" applyFont="1" applyFill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11" fillId="0" borderId="32" xfId="2" applyFont="1" applyFill="1" applyBorder="1" applyAlignment="1">
      <alignment horizontal="center" vertical="center" shrinkToFit="1"/>
    </xf>
    <xf numFmtId="0" fontId="11" fillId="0" borderId="33" xfId="2" applyFont="1" applyFill="1" applyBorder="1" applyAlignment="1">
      <alignment horizontal="center" vertical="center" shrinkToFit="1"/>
    </xf>
    <xf numFmtId="38" fontId="16" fillId="0" borderId="12" xfId="3" applyFont="1" applyFill="1" applyBorder="1" applyAlignment="1">
      <alignment horizontal="center" vertical="center"/>
    </xf>
    <xf numFmtId="38" fontId="16" fillId="0" borderId="13" xfId="3" applyFont="1" applyFill="1" applyBorder="1" applyAlignment="1">
      <alignment horizontal="center" vertical="center"/>
    </xf>
    <xf numFmtId="3" fontId="10" fillId="0" borderId="9" xfId="1" applyNumberFormat="1" applyFont="1" applyBorder="1" applyAlignment="1">
      <alignment horizontal="center" vertical="center"/>
    </xf>
    <xf numFmtId="0" fontId="5" fillId="0" borderId="24" xfId="1" quotePrefix="1" applyFont="1" applyBorder="1" applyAlignment="1">
      <alignment horizontal="center" vertical="center" wrapText="1"/>
    </xf>
    <xf numFmtId="0" fontId="5" fillId="0" borderId="25" xfId="1" quotePrefix="1" applyFont="1" applyBorder="1" applyAlignment="1">
      <alignment horizontal="center" vertical="center" wrapText="1"/>
    </xf>
    <xf numFmtId="0" fontId="5" fillId="0" borderId="26" xfId="1" quotePrefix="1" applyFont="1" applyBorder="1" applyAlignment="1">
      <alignment horizontal="center" vertical="center" wrapText="1"/>
    </xf>
    <xf numFmtId="0" fontId="5" fillId="0" borderId="12" xfId="1" quotePrefix="1" applyFont="1" applyBorder="1" applyAlignment="1">
      <alignment horizontal="center" vertical="center" wrapText="1"/>
    </xf>
    <xf numFmtId="0" fontId="5" fillId="0" borderId="8" xfId="1" quotePrefix="1" applyFont="1" applyBorder="1" applyAlignment="1">
      <alignment horizontal="center" vertical="center" wrapText="1"/>
    </xf>
    <xf numFmtId="0" fontId="5" fillId="0" borderId="13" xfId="1" quotePrefix="1" applyFont="1" applyBorder="1" applyAlignment="1">
      <alignment horizontal="center" vertical="center" wrapText="1"/>
    </xf>
    <xf numFmtId="0" fontId="16" fillId="0" borderId="25" xfId="1" quotePrefix="1" applyFont="1" applyBorder="1" applyAlignment="1">
      <alignment horizontal="center" vertical="center"/>
    </xf>
    <xf numFmtId="0" fontId="16" fillId="0" borderId="26" xfId="1" quotePrefix="1" applyFont="1" applyBorder="1" applyAlignment="1">
      <alignment horizontal="center" vertical="center"/>
    </xf>
    <xf numFmtId="0" fontId="16" fillId="0" borderId="8" xfId="1" quotePrefix="1" applyFont="1" applyBorder="1" applyAlignment="1">
      <alignment horizontal="center" vertical="center"/>
    </xf>
    <xf numFmtId="0" fontId="16" fillId="0" borderId="13" xfId="1" quotePrefix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0" fillId="0" borderId="25" xfId="1" applyFont="1" applyBorder="1" applyAlignment="1" applyProtection="1">
      <alignment horizontal="center" vertical="center"/>
      <protection locked="0"/>
    </xf>
    <xf numFmtId="0" fontId="10" fillId="0" borderId="26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38" fontId="16" fillId="0" borderId="32" xfId="3" applyFont="1" applyFill="1" applyBorder="1" applyAlignment="1">
      <alignment horizontal="center" vertical="center"/>
    </xf>
    <xf numFmtId="38" fontId="16" fillId="0" borderId="33" xfId="3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38" fontId="16" fillId="0" borderId="34" xfId="3" applyFont="1" applyFill="1" applyBorder="1" applyAlignment="1">
      <alignment horizontal="center"/>
    </xf>
    <xf numFmtId="38" fontId="16" fillId="0" borderId="35" xfId="3" applyFont="1" applyFill="1" applyBorder="1" applyAlignment="1">
      <alignment horizontal="center"/>
    </xf>
    <xf numFmtId="38" fontId="16" fillId="0" borderId="31" xfId="3" applyFont="1" applyFill="1" applyBorder="1" applyAlignment="1">
      <alignment horizontal="center" vertical="center"/>
    </xf>
    <xf numFmtId="38" fontId="16" fillId="0" borderId="36" xfId="3" applyFont="1" applyFill="1" applyBorder="1" applyAlignment="1">
      <alignment horizontal="center" vertical="center"/>
    </xf>
    <xf numFmtId="38" fontId="16" fillId="0" borderId="6" xfId="3" applyFont="1" applyFill="1" applyBorder="1" applyAlignment="1">
      <alignment horizontal="center" vertical="center"/>
    </xf>
    <xf numFmtId="38" fontId="16" fillId="0" borderId="5" xfId="3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38" fontId="16" fillId="0" borderId="12" xfId="3" applyFont="1" applyFill="1" applyBorder="1" applyAlignment="1">
      <alignment horizontal="center"/>
    </xf>
    <xf numFmtId="38" fontId="16" fillId="0" borderId="8" xfId="3" applyFont="1" applyFill="1" applyBorder="1" applyAlignment="1">
      <alignment horizontal="center"/>
    </xf>
    <xf numFmtId="0" fontId="18" fillId="0" borderId="24" xfId="1" applyFont="1" applyBorder="1" applyAlignment="1" applyProtection="1">
      <alignment horizontal="center" vertical="center"/>
      <protection locked="0"/>
    </xf>
    <xf numFmtId="0" fontId="18" fillId="0" borderId="25" xfId="1" applyFont="1" applyBorder="1" applyAlignment="1" applyProtection="1">
      <alignment horizontal="center" vertical="center"/>
      <protection locked="0"/>
    </xf>
    <xf numFmtId="0" fontId="18" fillId="0" borderId="26" xfId="1" applyFont="1" applyBorder="1" applyAlignment="1" applyProtection="1">
      <alignment horizontal="center" vertical="center"/>
      <protection locked="0"/>
    </xf>
    <xf numFmtId="0" fontId="18" fillId="0" borderId="12" xfId="1" applyFont="1" applyBorder="1" applyAlignment="1" applyProtection="1">
      <alignment horizontal="center" vertical="center"/>
      <protection locked="0"/>
    </xf>
    <xf numFmtId="0" fontId="18" fillId="0" borderId="8" xfId="1" applyFont="1" applyBorder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16" fillId="0" borderId="6" xfId="2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 shrinkToFit="1"/>
    </xf>
    <xf numFmtId="0" fontId="5" fillId="0" borderId="25" xfId="2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 shrinkToFit="1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38" fontId="16" fillId="0" borderId="34" xfId="3" applyFont="1" applyFill="1" applyBorder="1" applyAlignment="1">
      <alignment horizontal="center" vertical="center"/>
    </xf>
    <xf numFmtId="38" fontId="16" fillId="0" borderId="35" xfId="3" applyFont="1" applyFill="1" applyBorder="1" applyAlignment="1">
      <alignment horizontal="center" vertical="center"/>
    </xf>
    <xf numFmtId="38" fontId="16" fillId="0" borderId="6" xfId="3" applyFont="1" applyFill="1" applyBorder="1" applyAlignment="1">
      <alignment horizontal="center"/>
    </xf>
    <xf numFmtId="38" fontId="16" fillId="0" borderId="5" xfId="3" applyFont="1" applyFill="1" applyBorder="1" applyAlignment="1">
      <alignment horizontal="center"/>
    </xf>
    <xf numFmtId="0" fontId="11" fillId="0" borderId="38" xfId="2" applyFont="1" applyFill="1" applyBorder="1" applyAlignment="1">
      <alignment horizontal="center" vertical="center" shrinkToFit="1"/>
    </xf>
    <xf numFmtId="0" fontId="11" fillId="0" borderId="39" xfId="2" applyFont="1" applyFill="1" applyBorder="1" applyAlignment="1">
      <alignment horizontal="center" vertical="center" shrinkToFit="1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38" fontId="16" fillId="0" borderId="41" xfId="3" applyFont="1" applyFill="1" applyBorder="1" applyAlignment="1">
      <alignment horizontal="center"/>
    </xf>
    <xf numFmtId="38" fontId="16" fillId="0" borderId="42" xfId="3" applyFont="1" applyFill="1" applyBorder="1" applyAlignment="1">
      <alignment horizontal="center"/>
    </xf>
    <xf numFmtId="38" fontId="16" fillId="0" borderId="43" xfId="3" applyFont="1" applyFill="1" applyBorder="1" applyAlignment="1">
      <alignment horizontal="center" vertical="center"/>
    </xf>
    <xf numFmtId="38" fontId="16" fillId="0" borderId="41" xfId="3" applyFont="1" applyFill="1" applyBorder="1" applyAlignment="1">
      <alignment horizontal="center" vertical="center"/>
    </xf>
    <xf numFmtId="38" fontId="16" fillId="0" borderId="42" xfId="3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11" fillId="0" borderId="47" xfId="2" applyFont="1" applyFill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5" xfId="1" quotePrefix="1" applyFont="1" applyBorder="1" applyAlignment="1" applyProtection="1">
      <alignment horizontal="center" vertical="center" wrapText="1"/>
      <protection locked="0"/>
    </xf>
    <xf numFmtId="0" fontId="5" fillId="0" borderId="48" xfId="1" quotePrefix="1" applyFont="1" applyBorder="1" applyAlignment="1" applyProtection="1">
      <alignment horizontal="center" vertical="center" wrapText="1"/>
      <protection locked="0"/>
    </xf>
    <xf numFmtId="0" fontId="5" fillId="0" borderId="0" xfId="1" quotePrefix="1" applyFont="1" applyBorder="1" applyAlignment="1" applyProtection="1">
      <alignment horizontal="center" vertical="center" wrapText="1"/>
      <protection locked="0"/>
    </xf>
    <xf numFmtId="0" fontId="5" fillId="0" borderId="54" xfId="1" quotePrefix="1" applyFont="1" applyBorder="1" applyAlignment="1" applyProtection="1">
      <alignment horizontal="center" vertical="center" wrapText="1"/>
      <protection locked="0"/>
    </xf>
    <xf numFmtId="0" fontId="5" fillId="0" borderId="8" xfId="1" quotePrefix="1" applyFont="1" applyBorder="1" applyAlignment="1" applyProtection="1">
      <alignment horizontal="center" vertical="center" wrapText="1"/>
      <protection locked="0"/>
    </xf>
    <xf numFmtId="0" fontId="5" fillId="0" borderId="60" xfId="1" quotePrefix="1" applyFont="1" applyBorder="1" applyAlignment="1" applyProtection="1">
      <alignment horizontal="center" vertical="center" wrapText="1"/>
      <protection locked="0"/>
    </xf>
    <xf numFmtId="0" fontId="5" fillId="0" borderId="49" xfId="1" quotePrefix="1" applyFont="1" applyBorder="1" applyAlignment="1" applyProtection="1">
      <alignment horizontal="center" vertical="center" wrapText="1"/>
      <protection locked="0"/>
    </xf>
    <xf numFmtId="0" fontId="5" fillId="0" borderId="55" xfId="1" quotePrefix="1" applyFont="1" applyBorder="1" applyAlignment="1" applyProtection="1">
      <alignment horizontal="center" vertical="center" wrapText="1"/>
      <protection locked="0"/>
    </xf>
    <xf numFmtId="0" fontId="5" fillId="0" borderId="61" xfId="1" quotePrefix="1" applyFont="1" applyBorder="1" applyAlignment="1" applyProtection="1">
      <alignment horizontal="center" vertical="center" wrapText="1"/>
      <protection locked="0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38" fontId="16" fillId="0" borderId="46" xfId="3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1" fillId="0" borderId="44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37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38" fontId="16" fillId="0" borderId="4" xfId="3" applyFont="1" applyFill="1" applyBorder="1" applyAlignment="1">
      <alignment horizontal="center"/>
    </xf>
    <xf numFmtId="38" fontId="16" fillId="0" borderId="45" xfId="3" applyFont="1" applyFill="1" applyBorder="1" applyAlignment="1">
      <alignment horizontal="center"/>
    </xf>
    <xf numFmtId="38" fontId="16" fillId="0" borderId="47" xfId="3" applyFont="1" applyFill="1" applyBorder="1" applyAlignment="1">
      <alignment horizontal="center" vertical="center"/>
    </xf>
    <xf numFmtId="38" fontId="16" fillId="0" borderId="45" xfId="3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41" xfId="2" applyFont="1" applyFill="1" applyBorder="1" applyAlignment="1">
      <alignment horizontal="center" vertical="center"/>
    </xf>
    <xf numFmtId="38" fontId="16" fillId="0" borderId="38" xfId="3" applyFont="1" applyFill="1" applyBorder="1" applyAlignment="1">
      <alignment horizontal="center"/>
    </xf>
    <xf numFmtId="38" fontId="16" fillId="0" borderId="39" xfId="3" applyFont="1" applyFill="1" applyBorder="1" applyAlignment="1">
      <alignment horizontal="center"/>
    </xf>
    <xf numFmtId="40" fontId="21" fillId="5" borderId="0" xfId="4" applyNumberFormat="1" applyFont="1" applyFill="1" applyBorder="1" applyAlignment="1" applyProtection="1">
      <alignment horizontal="center" vertical="center"/>
      <protection locked="0"/>
    </xf>
    <xf numFmtId="0" fontId="21" fillId="5" borderId="0" xfId="4" applyFont="1" applyFill="1" applyBorder="1" applyAlignment="1" applyProtection="1">
      <alignment horizontal="center" vertical="center"/>
      <protection locked="0" hidden="1"/>
    </xf>
    <xf numFmtId="38" fontId="22" fillId="5" borderId="0" xfId="4" applyNumberFormat="1" applyFont="1" applyFill="1" applyProtection="1">
      <alignment vertical="center"/>
      <protection locked="0"/>
    </xf>
    <xf numFmtId="0" fontId="22" fillId="5" borderId="0" xfId="4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2" fillId="5" borderId="0" xfId="4" applyFont="1" applyFill="1" applyBorder="1" applyAlignment="1" applyProtection="1">
      <alignment vertical="center"/>
      <protection locked="0"/>
    </xf>
    <xf numFmtId="0" fontId="34" fillId="5" borderId="0" xfId="0" applyFont="1" applyFill="1" applyAlignment="1" applyProtection="1">
      <alignment vertical="center"/>
      <protection locked="0"/>
    </xf>
    <xf numFmtId="0" fontId="21" fillId="5" borderId="0" xfId="4" applyFont="1" applyFill="1" applyBorder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7" fillId="0" borderId="14" xfId="1" applyFont="1" applyBorder="1" applyAlignment="1" applyProtection="1">
      <alignment horizontal="left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179" fontId="7" fillId="0" borderId="15" xfId="1" applyNumberFormat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left" vertical="center"/>
      <protection locked="0"/>
    </xf>
    <xf numFmtId="0" fontId="7" fillId="0" borderId="15" xfId="1" applyFont="1" applyBorder="1" applyAlignment="1" applyProtection="1">
      <alignment vertical="center"/>
      <protection locked="0"/>
    </xf>
    <xf numFmtId="0" fontId="7" fillId="0" borderId="15" xfId="1" applyFont="1" applyBorder="1" applyAlignment="1" applyProtection="1">
      <alignment horizontal="right" vertical="center"/>
      <protection locked="0"/>
    </xf>
    <xf numFmtId="0" fontId="7" fillId="0" borderId="16" xfId="1" applyFont="1" applyBorder="1" applyAlignment="1" applyProtection="1">
      <alignment horizontal="right" vertical="center"/>
      <protection locked="0"/>
    </xf>
    <xf numFmtId="0" fontId="7" fillId="0" borderId="17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horizontal="left"/>
      <protection locked="0"/>
    </xf>
    <xf numFmtId="0" fontId="8" fillId="0" borderId="0" xfId="1" applyFont="1" applyFill="1" applyBorder="1" applyAlignment="1" applyProtection="1">
      <protection locked="0"/>
    </xf>
    <xf numFmtId="0" fontId="12" fillId="0" borderId="0" xfId="1" applyFont="1" applyFill="1" applyBorder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17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right" vertical="center"/>
      <protection locked="0"/>
    </xf>
    <xf numFmtId="179" fontId="7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protection locked="0"/>
    </xf>
  </cellXfs>
  <cellStyles count="6">
    <cellStyle name="桁区切り 2" xfId="3"/>
    <cellStyle name="標準" xfId="0" builtinId="0"/>
    <cellStyle name="標準 2" xfId="1"/>
    <cellStyle name="標準 3" xfId="2"/>
    <cellStyle name="標準 4" xfId="4"/>
    <cellStyle name="標準 5" xfId="5"/>
  </cellStyles>
  <dxfs count="33">
    <dxf>
      <fill>
        <patternFill patternType="none">
          <bgColor indexed="65"/>
        </patternFill>
      </fill>
    </dxf>
    <dxf>
      <font>
        <condense val="0"/>
        <extend val="0"/>
        <color indexed="9"/>
      </font>
      <border>
        <left/>
        <right style="thin">
          <color indexed="64"/>
        </right>
        <top/>
        <bottom/>
      </border>
    </dxf>
    <dxf>
      <font>
        <condense val="0"/>
        <extend val="0"/>
        <color auto="1"/>
      </font>
    </dxf>
    <dxf>
      <border>
        <bottom style="dotted">
          <color indexed="64"/>
        </bottom>
      </border>
    </dxf>
    <dxf>
      <border>
        <top style="dotted">
          <color indexed="64"/>
        </top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bgColor indexed="65"/>
        </patternFill>
      </fill>
      <border>
        <bottom style="dotted">
          <color indexed="64"/>
        </bottom>
      </border>
    </dxf>
    <dxf>
      <fill>
        <patternFill patternType="none">
          <bgColor indexed="65"/>
        </patternFill>
      </fill>
      <border>
        <top style="dotted">
          <color indexed="64"/>
        </top>
      </border>
    </dxf>
    <dxf>
      <border>
        <right style="thin">
          <color indexed="64"/>
        </right>
      </border>
    </dxf>
    <dxf>
      <border>
        <left style="thin">
          <color indexed="64"/>
        </left>
        <right/>
        <top/>
      </border>
    </dxf>
    <dxf>
      <border>
        <left style="thin">
          <color indexed="64"/>
        </left>
        <right/>
        <bottom/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 style="thin">
          <color indexed="64"/>
        </right>
        <top/>
        <bottom/>
      </border>
    </dxf>
    <dxf>
      <font>
        <condense val="0"/>
        <extend val="0"/>
        <color auto="1"/>
      </font>
    </dxf>
    <dxf>
      <border>
        <bottom style="dotted">
          <color indexed="64"/>
        </bottom>
      </border>
    </dxf>
    <dxf>
      <border>
        <top style="dotted">
          <color indexed="64"/>
        </top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bgColor indexed="65"/>
        </patternFill>
      </fill>
      <border>
        <bottom style="dotted">
          <color indexed="64"/>
        </bottom>
      </border>
    </dxf>
    <dxf>
      <fill>
        <patternFill patternType="none">
          <bgColor indexed="65"/>
        </patternFill>
      </fill>
      <border>
        <top style="dotted">
          <color indexed="64"/>
        </top>
      </border>
    </dxf>
    <dxf>
      <border>
        <right style="thin">
          <color indexed="64"/>
        </right>
      </border>
    </dxf>
    <dxf>
      <border>
        <left style="thin">
          <color indexed="64"/>
        </left>
        <right/>
        <top/>
      </border>
    </dxf>
    <dxf>
      <border>
        <left style="thin">
          <color indexed="64"/>
        </left>
        <right/>
        <bottom/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45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2" name="Freeform 199" descr="20%">
          <a:extLst>
            <a:ext uri="{FF2B5EF4-FFF2-40B4-BE49-F238E27FC236}">
              <a16:creationId xmlns:a16="http://schemas.microsoft.com/office/drawing/2014/main" id="{00000000-0008-0000-0000-0000CD1E0000}"/>
            </a:ext>
          </a:extLst>
        </xdr:cNvPr>
        <xdr:cNvSpPr>
          <a:spLocks/>
        </xdr:cNvSpPr>
      </xdr:nvSpPr>
      <xdr:spPr bwMode="auto">
        <a:xfrm>
          <a:off x="1000125" y="7543800"/>
          <a:ext cx="600075" cy="514350"/>
        </a:xfrm>
        <a:custGeom>
          <a:avLst/>
          <a:gdLst>
            <a:gd name="T0" fmla="*/ 0 w 63"/>
            <a:gd name="T1" fmla="*/ 0 h 54"/>
            <a:gd name="T2" fmla="*/ 2147483647 w 63"/>
            <a:gd name="T3" fmla="*/ 0 h 54"/>
            <a:gd name="T4" fmla="*/ 2147483647 w 63"/>
            <a:gd name="T5" fmla="*/ 2147483647 h 54"/>
            <a:gd name="T6" fmla="*/ 0 w 63"/>
            <a:gd name="T7" fmla="*/ 2147483647 h 54"/>
            <a:gd name="T8" fmla="*/ 0 w 63"/>
            <a:gd name="T9" fmla="*/ 0 h 5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63"/>
            <a:gd name="T16" fmla="*/ 0 h 54"/>
            <a:gd name="T17" fmla="*/ 63 w 63"/>
            <a:gd name="T18" fmla="*/ 54 h 5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63" h="54">
              <a:moveTo>
                <a:pt x="0" y="0"/>
              </a:moveTo>
              <a:lnTo>
                <a:pt x="63" y="0"/>
              </a:lnTo>
              <a:lnTo>
                <a:pt x="63" y="54"/>
              </a:lnTo>
              <a:lnTo>
                <a:pt x="0" y="54"/>
              </a:lnTo>
              <a:lnTo>
                <a:pt x="0" y="0"/>
              </a:lnTo>
              <a:close/>
            </a:path>
          </a:pathLst>
        </a:custGeom>
        <a:pattFill prst="pct20">
          <a:fgClr>
            <a:srgbClr val="000000">
              <a:alpha val="39999"/>
            </a:srgbClr>
          </a:fgClr>
          <a:bgClr>
            <a:srgbClr val="FFFFFF">
              <a:alpha val="39999"/>
            </a:srgbClr>
          </a:bgClr>
        </a:pattFill>
        <a:ln w="317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11</xdr:col>
      <xdr:colOff>0</xdr:colOff>
      <xdr:row>45</xdr:row>
      <xdr:rowOff>57150</xdr:rowOff>
    </xdr:from>
    <xdr:to>
      <xdr:col>26</xdr:col>
      <xdr:colOff>0</xdr:colOff>
      <xdr:row>53</xdr:row>
      <xdr:rowOff>0</xdr:rowOff>
    </xdr:to>
    <xdr:sp macro="" textlink="">
      <xdr:nvSpPr>
        <xdr:cNvPr id="3" name="Freeform 198" descr="20%">
          <a:extLst>
            <a:ext uri="{FF2B5EF4-FFF2-40B4-BE49-F238E27FC236}">
              <a16:creationId xmlns:a16="http://schemas.microsoft.com/office/drawing/2014/main" id="{00000000-0008-0000-0000-0000CE1E0000}"/>
            </a:ext>
          </a:extLst>
        </xdr:cNvPr>
        <xdr:cNvSpPr>
          <a:spLocks/>
        </xdr:cNvSpPr>
      </xdr:nvSpPr>
      <xdr:spPr bwMode="auto">
        <a:xfrm>
          <a:off x="2200275" y="7600950"/>
          <a:ext cx="2466975" cy="1314450"/>
        </a:xfrm>
        <a:custGeom>
          <a:avLst/>
          <a:gdLst>
            <a:gd name="T0" fmla="*/ 2147483647 w 259"/>
            <a:gd name="T1" fmla="*/ 2147483647 h 138"/>
            <a:gd name="T2" fmla="*/ 0 w 259"/>
            <a:gd name="T3" fmla="*/ 2147483647 h 138"/>
            <a:gd name="T4" fmla="*/ 0 w 259"/>
            <a:gd name="T5" fmla="*/ 0 h 138"/>
            <a:gd name="T6" fmla="*/ 2147483647 w 259"/>
            <a:gd name="T7" fmla="*/ 2147483647 h 138"/>
            <a:gd name="T8" fmla="*/ 2147483647 w 259"/>
            <a:gd name="T9" fmla="*/ 2147483647 h 138"/>
            <a:gd name="T10" fmla="*/ 2147483647 w 259"/>
            <a:gd name="T11" fmla="*/ 2147483647 h 138"/>
            <a:gd name="T12" fmla="*/ 2147483647 w 259"/>
            <a:gd name="T13" fmla="*/ 2147483647 h 138"/>
            <a:gd name="T14" fmla="*/ 2147483647 w 259"/>
            <a:gd name="T15" fmla="*/ 2147483647 h 138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259"/>
            <a:gd name="T25" fmla="*/ 0 h 138"/>
            <a:gd name="T26" fmla="*/ 259 w 259"/>
            <a:gd name="T27" fmla="*/ 138 h 138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59" h="138">
              <a:moveTo>
                <a:pt x="147" y="66"/>
              </a:moveTo>
              <a:lnTo>
                <a:pt x="0" y="54"/>
              </a:lnTo>
              <a:lnTo>
                <a:pt x="0" y="0"/>
              </a:lnTo>
              <a:lnTo>
                <a:pt x="147" y="12"/>
              </a:lnTo>
              <a:lnTo>
                <a:pt x="259" y="12"/>
              </a:lnTo>
              <a:lnTo>
                <a:pt x="259" y="138"/>
              </a:lnTo>
              <a:lnTo>
                <a:pt x="147" y="138"/>
              </a:lnTo>
              <a:lnTo>
                <a:pt x="147" y="66"/>
              </a:lnTo>
              <a:close/>
            </a:path>
          </a:pathLst>
        </a:custGeom>
        <a:pattFill prst="pct20">
          <a:fgClr>
            <a:srgbClr val="000000">
              <a:alpha val="39999"/>
            </a:srgbClr>
          </a:fgClr>
          <a:bgClr>
            <a:srgbClr val="FFFFFF">
              <a:alpha val="39999"/>
            </a:srgbClr>
          </a:bgClr>
        </a:pattFill>
        <a:ln w="3175" cap="flat" cmpd="sng">
          <a:solidFill>
            <a:srgbClr val="000000"/>
          </a:solidFill>
          <a:prstDash val="solid"/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CF1E0000}"/>
            </a:ext>
          </a:extLst>
        </xdr:cNvPr>
        <xdr:cNvSpPr>
          <a:spLocks noChangeShapeType="1"/>
        </xdr:cNvSpPr>
      </xdr:nvSpPr>
      <xdr:spPr bwMode="auto">
        <a:xfrm>
          <a:off x="1000125" y="2400300"/>
          <a:ext cx="6000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D01E0000}"/>
            </a:ext>
          </a:extLst>
        </xdr:cNvPr>
        <xdr:cNvSpPr>
          <a:spLocks noChangeShapeType="1"/>
        </xdr:cNvSpPr>
      </xdr:nvSpPr>
      <xdr:spPr bwMode="auto">
        <a:xfrm flipV="1">
          <a:off x="1600200" y="2400300"/>
          <a:ext cx="6000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11</xdr:col>
      <xdr:colOff>0</xdr:colOff>
      <xdr:row>14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D21E0000}"/>
            </a:ext>
          </a:extLst>
        </xdr:cNvPr>
        <xdr:cNvSpPr>
          <a:spLocks noChangeShapeType="1"/>
        </xdr:cNvSpPr>
      </xdr:nvSpPr>
      <xdr:spPr bwMode="auto">
        <a:xfrm flipV="1">
          <a:off x="2200275" y="2400300"/>
          <a:ext cx="19335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D31E0000}"/>
            </a:ext>
          </a:extLst>
        </xdr:cNvPr>
        <xdr:cNvSpPr>
          <a:spLocks noChangeShapeType="1"/>
        </xdr:cNvSpPr>
      </xdr:nvSpPr>
      <xdr:spPr bwMode="auto">
        <a:xfrm>
          <a:off x="2200275" y="2057400"/>
          <a:ext cx="24669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D41E0000}"/>
            </a:ext>
          </a:extLst>
        </xdr:cNvPr>
        <xdr:cNvSpPr>
          <a:spLocks noChangeShapeType="1"/>
        </xdr:cNvSpPr>
      </xdr:nvSpPr>
      <xdr:spPr bwMode="auto">
        <a:xfrm flipV="1">
          <a:off x="1000125" y="1714500"/>
          <a:ext cx="366712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D51E0000}"/>
            </a:ext>
          </a:extLst>
        </xdr:cNvPr>
        <xdr:cNvSpPr>
          <a:spLocks noChangeShapeType="1"/>
        </xdr:cNvSpPr>
      </xdr:nvSpPr>
      <xdr:spPr bwMode="auto">
        <a:xfrm>
          <a:off x="1200150" y="4114800"/>
          <a:ext cx="4000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6</xdr:col>
      <xdr:colOff>0</xdr:colOff>
      <xdr:row>26</xdr:row>
      <xdr:rowOff>0</xdr:rowOff>
    </xdr:from>
    <xdr:to>
      <xdr:col>22</xdr:col>
      <xdr:colOff>0</xdr:colOff>
      <xdr:row>26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D61E0000}"/>
            </a:ext>
          </a:extLst>
        </xdr:cNvPr>
        <xdr:cNvSpPr>
          <a:spLocks noChangeShapeType="1"/>
        </xdr:cNvSpPr>
      </xdr:nvSpPr>
      <xdr:spPr bwMode="auto">
        <a:xfrm>
          <a:off x="1200150" y="4457700"/>
          <a:ext cx="2933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D71E0000}"/>
            </a:ext>
          </a:extLst>
        </xdr:cNvPr>
        <xdr:cNvSpPr>
          <a:spLocks noChangeShapeType="1"/>
        </xdr:cNvSpPr>
      </xdr:nvSpPr>
      <xdr:spPr bwMode="auto">
        <a:xfrm flipV="1">
          <a:off x="600075" y="2914650"/>
          <a:ext cx="0" cy="85725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26</xdr:col>
      <xdr:colOff>0</xdr:colOff>
      <xdr:row>12</xdr:row>
      <xdr:rowOff>0</xdr:rowOff>
    </xdr:from>
    <xdr:to>
      <xdr:col>32</xdr:col>
      <xdr:colOff>0</xdr:colOff>
      <xdr:row>12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D81E0000}"/>
            </a:ext>
          </a:extLst>
        </xdr:cNvPr>
        <xdr:cNvSpPr>
          <a:spLocks noChangeShapeType="1"/>
        </xdr:cNvSpPr>
      </xdr:nvSpPr>
      <xdr:spPr bwMode="auto">
        <a:xfrm flipV="1">
          <a:off x="4667250" y="2057400"/>
          <a:ext cx="1200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32</xdr:col>
      <xdr:colOff>0</xdr:colOff>
      <xdr:row>8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D91E0000}"/>
            </a:ext>
          </a:extLst>
        </xdr:cNvPr>
        <xdr:cNvSpPr>
          <a:spLocks noChangeShapeType="1"/>
        </xdr:cNvSpPr>
      </xdr:nvSpPr>
      <xdr:spPr bwMode="auto">
        <a:xfrm flipV="1">
          <a:off x="2200275" y="1371600"/>
          <a:ext cx="366712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11</xdr:col>
      <xdr:colOff>0</xdr:colOff>
      <xdr:row>48</xdr:row>
      <xdr:rowOff>57150</xdr:rowOff>
    </xdr:from>
    <xdr:to>
      <xdr:col>18</xdr:col>
      <xdr:colOff>0</xdr:colOff>
      <xdr:row>49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DA1E0000}"/>
            </a:ext>
          </a:extLst>
        </xdr:cNvPr>
        <xdr:cNvSpPr>
          <a:spLocks noChangeShapeType="1"/>
        </xdr:cNvSpPr>
      </xdr:nvSpPr>
      <xdr:spPr bwMode="auto">
        <a:xfrm>
          <a:off x="2200275" y="8115300"/>
          <a:ext cx="14001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48</xdr:row>
      <xdr:rowOff>0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000-0000DB1E0000}"/>
            </a:ext>
          </a:extLst>
        </xdr:cNvPr>
        <xdr:cNvSpPr>
          <a:spLocks noChangeShapeType="1"/>
        </xdr:cNvSpPr>
      </xdr:nvSpPr>
      <xdr:spPr bwMode="auto">
        <a:xfrm flipH="1" flipV="1">
          <a:off x="600075" y="6686550"/>
          <a:ext cx="0" cy="13716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000-0000DC1E0000}"/>
            </a:ext>
          </a:extLst>
        </xdr:cNvPr>
        <xdr:cNvSpPr>
          <a:spLocks noChangeShapeType="1"/>
        </xdr:cNvSpPr>
      </xdr:nvSpPr>
      <xdr:spPr bwMode="auto">
        <a:xfrm>
          <a:off x="1000125" y="6343650"/>
          <a:ext cx="6000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8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000-0000DD1E0000}"/>
            </a:ext>
          </a:extLst>
        </xdr:cNvPr>
        <xdr:cNvSpPr>
          <a:spLocks noChangeShapeType="1"/>
        </xdr:cNvSpPr>
      </xdr:nvSpPr>
      <xdr:spPr bwMode="auto">
        <a:xfrm>
          <a:off x="1600200" y="6343650"/>
          <a:ext cx="6000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18</xdr:col>
      <xdr:colOff>0</xdr:colOff>
      <xdr:row>37</xdr:row>
      <xdr:rowOff>0</xdr:rowOff>
    </xdr:to>
    <xdr:sp macro="" textlink="">
      <xdr:nvSpPr>
        <xdr:cNvPr id="18" name="Line 18">
          <a:extLst>
            <a:ext uri="{FF2B5EF4-FFF2-40B4-BE49-F238E27FC236}">
              <a16:creationId xmlns:a16="http://schemas.microsoft.com/office/drawing/2014/main" id="{00000000-0008-0000-0000-0000DE1E0000}"/>
            </a:ext>
          </a:extLst>
        </xdr:cNvPr>
        <xdr:cNvSpPr>
          <a:spLocks noChangeShapeType="1"/>
        </xdr:cNvSpPr>
      </xdr:nvSpPr>
      <xdr:spPr bwMode="auto">
        <a:xfrm>
          <a:off x="2200275" y="6343650"/>
          <a:ext cx="1400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18</xdr:col>
      <xdr:colOff>9525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00000000-0008-0000-0000-0000DF1E0000}"/>
            </a:ext>
          </a:extLst>
        </xdr:cNvPr>
        <xdr:cNvSpPr>
          <a:spLocks noChangeShapeType="1"/>
        </xdr:cNvSpPr>
      </xdr:nvSpPr>
      <xdr:spPr bwMode="auto">
        <a:xfrm>
          <a:off x="3609975" y="6343650"/>
          <a:ext cx="10572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4</xdr:col>
      <xdr:colOff>34848</xdr:colOff>
      <xdr:row>38</xdr:row>
      <xdr:rowOff>162621</xdr:rowOff>
    </xdr:from>
    <xdr:to>
      <xdr:col>4</xdr:col>
      <xdr:colOff>34848</xdr:colOff>
      <xdr:row>46</xdr:row>
      <xdr:rowOff>162622</xdr:rowOff>
    </xdr:to>
    <xdr:sp macro="" textlink="">
      <xdr:nvSpPr>
        <xdr:cNvPr id="20" name="Line 20">
          <a:extLst>
            <a:ext uri="{FF2B5EF4-FFF2-40B4-BE49-F238E27FC236}">
              <a16:creationId xmlns:a16="http://schemas.microsoft.com/office/drawing/2014/main" id="{00000000-0008-0000-0000-0000E01E0000}"/>
            </a:ext>
          </a:extLst>
        </xdr:cNvPr>
        <xdr:cNvSpPr>
          <a:spLocks noChangeShapeType="1"/>
        </xdr:cNvSpPr>
      </xdr:nvSpPr>
      <xdr:spPr bwMode="auto">
        <a:xfrm flipH="1" flipV="1">
          <a:off x="834948" y="6677721"/>
          <a:ext cx="0" cy="1200151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6</xdr:col>
      <xdr:colOff>0</xdr:colOff>
      <xdr:row>45</xdr:row>
      <xdr:rowOff>152400</xdr:rowOff>
    </xdr:from>
    <xdr:to>
      <xdr:col>22</xdr:col>
      <xdr:colOff>9525</xdr:colOff>
      <xdr:row>51</xdr:row>
      <xdr:rowOff>0</xdr:rowOff>
    </xdr:to>
    <xdr:sp macro="" textlink="">
      <xdr:nvSpPr>
        <xdr:cNvPr id="21" name="Freeform 25">
          <a:extLst>
            <a:ext uri="{FF2B5EF4-FFF2-40B4-BE49-F238E27FC236}">
              <a16:creationId xmlns:a16="http://schemas.microsoft.com/office/drawing/2014/main" id="{00000000-0008-0000-0000-0000E11E0000}"/>
            </a:ext>
          </a:extLst>
        </xdr:cNvPr>
        <xdr:cNvSpPr>
          <a:spLocks/>
        </xdr:cNvSpPr>
      </xdr:nvSpPr>
      <xdr:spPr bwMode="auto">
        <a:xfrm>
          <a:off x="1200150" y="7696200"/>
          <a:ext cx="2943225" cy="876300"/>
        </a:xfrm>
        <a:custGeom>
          <a:avLst/>
          <a:gdLst>
            <a:gd name="T0" fmla="*/ 2147483647 w 309"/>
            <a:gd name="T1" fmla="*/ 2147483647 h 92"/>
            <a:gd name="T2" fmla="*/ 2147483647 w 309"/>
            <a:gd name="T3" fmla="*/ 2147483647 h 92"/>
            <a:gd name="T4" fmla="*/ 0 w 309"/>
            <a:gd name="T5" fmla="*/ 2147483647 h 92"/>
            <a:gd name="T6" fmla="*/ 0 w 309"/>
            <a:gd name="T7" fmla="*/ 0 h 92"/>
            <a:gd name="T8" fmla="*/ 2147483647 w 309"/>
            <a:gd name="T9" fmla="*/ 2147483647 h 92"/>
            <a:gd name="T10" fmla="*/ 2147483647 w 309"/>
            <a:gd name="T11" fmla="*/ 2147483647 h 92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309"/>
            <a:gd name="T19" fmla="*/ 0 h 92"/>
            <a:gd name="T20" fmla="*/ 309 w 309"/>
            <a:gd name="T21" fmla="*/ 92 h 92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309" h="92">
              <a:moveTo>
                <a:pt x="295" y="92"/>
              </a:moveTo>
              <a:lnTo>
                <a:pt x="252" y="38"/>
              </a:lnTo>
              <a:lnTo>
                <a:pt x="0" y="17"/>
              </a:lnTo>
              <a:lnTo>
                <a:pt x="0" y="0"/>
              </a:lnTo>
              <a:lnTo>
                <a:pt x="261" y="22"/>
              </a:lnTo>
              <a:lnTo>
                <a:pt x="309" y="80"/>
              </a:lnTo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35</xdr:row>
      <xdr:rowOff>0</xdr:rowOff>
    </xdr:from>
    <xdr:to>
      <xdr:col>26</xdr:col>
      <xdr:colOff>0</xdr:colOff>
      <xdr:row>35</xdr:row>
      <xdr:rowOff>0</xdr:rowOff>
    </xdr:to>
    <xdr:sp macro="" textlink="">
      <xdr:nvSpPr>
        <xdr:cNvPr id="22" name="Line 26">
          <a:extLst>
            <a:ext uri="{FF2B5EF4-FFF2-40B4-BE49-F238E27FC236}">
              <a16:creationId xmlns:a16="http://schemas.microsoft.com/office/drawing/2014/main" id="{00000000-0008-0000-0000-0000E21E0000}"/>
            </a:ext>
          </a:extLst>
        </xdr:cNvPr>
        <xdr:cNvSpPr>
          <a:spLocks noChangeShapeType="1"/>
        </xdr:cNvSpPr>
      </xdr:nvSpPr>
      <xdr:spPr bwMode="auto">
        <a:xfrm>
          <a:off x="2200275" y="6000750"/>
          <a:ext cx="24669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23" name="Line 27">
          <a:extLst>
            <a:ext uri="{FF2B5EF4-FFF2-40B4-BE49-F238E27FC236}">
              <a16:creationId xmlns:a16="http://schemas.microsoft.com/office/drawing/2014/main" id="{00000000-0008-0000-0000-0000E31E0000}"/>
            </a:ext>
          </a:extLst>
        </xdr:cNvPr>
        <xdr:cNvSpPr>
          <a:spLocks noChangeShapeType="1"/>
        </xdr:cNvSpPr>
      </xdr:nvSpPr>
      <xdr:spPr bwMode="auto">
        <a:xfrm flipH="1">
          <a:off x="800100" y="8058150"/>
          <a:ext cx="0" cy="3429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none" w="lg" len="lg"/>
        </a:ln>
      </xdr:spPr>
    </xdr:sp>
    <xdr:clientData/>
  </xdr:twoCellAnchor>
  <xdr:twoCellAnchor>
    <xdr:from>
      <xdr:col>13</xdr:col>
      <xdr:colOff>0</xdr:colOff>
      <xdr:row>39</xdr:row>
      <xdr:rowOff>0</xdr:rowOff>
    </xdr:from>
    <xdr:to>
      <xdr:col>13</xdr:col>
      <xdr:colOff>0</xdr:colOff>
      <xdr:row>48</xdr:row>
      <xdr:rowOff>57150</xdr:rowOff>
    </xdr:to>
    <xdr:sp macro="" textlink="">
      <xdr:nvSpPr>
        <xdr:cNvPr id="24" name="Line 28">
          <a:extLst>
            <a:ext uri="{FF2B5EF4-FFF2-40B4-BE49-F238E27FC236}">
              <a16:creationId xmlns:a16="http://schemas.microsoft.com/office/drawing/2014/main" id="{00000000-0008-0000-0000-0000E41E0000}"/>
            </a:ext>
          </a:extLst>
        </xdr:cNvPr>
        <xdr:cNvSpPr>
          <a:spLocks noChangeShapeType="1"/>
        </xdr:cNvSpPr>
      </xdr:nvSpPr>
      <xdr:spPr bwMode="auto">
        <a:xfrm flipH="1" flipV="1">
          <a:off x="2600325" y="6686550"/>
          <a:ext cx="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0</xdr:colOff>
      <xdr:row>49</xdr:row>
      <xdr:rowOff>0</xdr:rowOff>
    </xdr:to>
    <xdr:sp macro="" textlink="">
      <xdr:nvSpPr>
        <xdr:cNvPr id="25" name="Line 29">
          <a:extLst>
            <a:ext uri="{FF2B5EF4-FFF2-40B4-BE49-F238E27FC236}">
              <a16:creationId xmlns:a16="http://schemas.microsoft.com/office/drawing/2014/main" id="{00000000-0008-0000-0000-0000E51E0000}"/>
            </a:ext>
          </a:extLst>
        </xdr:cNvPr>
        <xdr:cNvSpPr>
          <a:spLocks noChangeShapeType="1"/>
        </xdr:cNvSpPr>
      </xdr:nvSpPr>
      <xdr:spPr bwMode="auto">
        <a:xfrm flipV="1">
          <a:off x="3600450" y="6686550"/>
          <a:ext cx="0" cy="154305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  <xdr:txBody>
        <a:bodyPr/>
        <a:lstStyle/>
        <a:p>
          <a:r>
            <a:rPr lang="en-US" altLang="ja-JP"/>
            <a:t>1.10</a:t>
          </a:r>
          <a:endParaRPr lang="ja-JP" altLang="en-US"/>
        </a:p>
      </xdr:txBody>
    </xdr:sp>
    <xdr:clientData/>
  </xdr:twoCellAnchor>
  <xdr:twoCellAnchor>
    <xdr:from>
      <xdr:col>11</xdr:col>
      <xdr:colOff>133350</xdr:colOff>
      <xdr:row>48</xdr:row>
      <xdr:rowOff>57150</xdr:rowOff>
    </xdr:from>
    <xdr:to>
      <xdr:col>13</xdr:col>
      <xdr:colOff>76200</xdr:colOff>
      <xdr:row>48</xdr:row>
      <xdr:rowOff>57150</xdr:rowOff>
    </xdr:to>
    <xdr:sp macro="" textlink="">
      <xdr:nvSpPr>
        <xdr:cNvPr id="26" name="Line 31">
          <a:extLst>
            <a:ext uri="{FF2B5EF4-FFF2-40B4-BE49-F238E27FC236}">
              <a16:creationId xmlns:a16="http://schemas.microsoft.com/office/drawing/2014/main" id="{00000000-0008-0000-0000-0000E61E0000}"/>
            </a:ext>
          </a:extLst>
        </xdr:cNvPr>
        <xdr:cNvSpPr>
          <a:spLocks noChangeShapeType="1"/>
        </xdr:cNvSpPr>
      </xdr:nvSpPr>
      <xdr:spPr bwMode="auto">
        <a:xfrm>
          <a:off x="2333625" y="8115300"/>
          <a:ext cx="3429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7" name="Line 32">
          <a:extLst>
            <a:ext uri="{FF2B5EF4-FFF2-40B4-BE49-F238E27FC236}">
              <a16:creationId xmlns:a16="http://schemas.microsoft.com/office/drawing/2014/main" id="{00000000-0008-0000-0000-0000E71E0000}"/>
            </a:ext>
          </a:extLst>
        </xdr:cNvPr>
        <xdr:cNvSpPr>
          <a:spLocks noChangeShapeType="1"/>
        </xdr:cNvSpPr>
      </xdr:nvSpPr>
      <xdr:spPr bwMode="auto">
        <a:xfrm>
          <a:off x="1200150" y="9258300"/>
          <a:ext cx="2933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6</xdr:col>
      <xdr:colOff>0</xdr:colOff>
      <xdr:row>50</xdr:row>
      <xdr:rowOff>0</xdr:rowOff>
    </xdr:from>
    <xdr:to>
      <xdr:col>8</xdr:col>
      <xdr:colOff>0</xdr:colOff>
      <xdr:row>50</xdr:row>
      <xdr:rowOff>0</xdr:rowOff>
    </xdr:to>
    <xdr:sp macro="" textlink="">
      <xdr:nvSpPr>
        <xdr:cNvPr id="28" name="Line 33">
          <a:extLst>
            <a:ext uri="{FF2B5EF4-FFF2-40B4-BE49-F238E27FC236}">
              <a16:creationId xmlns:a16="http://schemas.microsoft.com/office/drawing/2014/main" id="{00000000-0008-0000-0000-0000E81E0000}"/>
            </a:ext>
          </a:extLst>
        </xdr:cNvPr>
        <xdr:cNvSpPr>
          <a:spLocks noChangeShapeType="1"/>
        </xdr:cNvSpPr>
      </xdr:nvSpPr>
      <xdr:spPr bwMode="auto">
        <a:xfrm>
          <a:off x="1200150" y="8401050"/>
          <a:ext cx="4000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16</xdr:col>
      <xdr:colOff>0</xdr:colOff>
      <xdr:row>49</xdr:row>
      <xdr:rowOff>0</xdr:rowOff>
    </xdr:from>
    <xdr:to>
      <xdr:col>16</xdr:col>
      <xdr:colOff>0</xdr:colOff>
      <xdr:row>53</xdr:row>
      <xdr:rowOff>0</xdr:rowOff>
    </xdr:to>
    <xdr:sp macro="" textlink="">
      <xdr:nvSpPr>
        <xdr:cNvPr id="29" name="Line 34">
          <a:extLst>
            <a:ext uri="{FF2B5EF4-FFF2-40B4-BE49-F238E27FC236}">
              <a16:creationId xmlns:a16="http://schemas.microsoft.com/office/drawing/2014/main" id="{00000000-0008-0000-0000-0000E91E0000}"/>
            </a:ext>
          </a:extLst>
        </xdr:cNvPr>
        <xdr:cNvSpPr>
          <a:spLocks noChangeShapeType="1"/>
        </xdr:cNvSpPr>
      </xdr:nvSpPr>
      <xdr:spPr bwMode="auto">
        <a:xfrm flipH="1" flipV="1">
          <a:off x="3200400" y="8229600"/>
          <a:ext cx="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24</xdr:col>
      <xdr:colOff>0</xdr:colOff>
      <xdr:row>18</xdr:row>
      <xdr:rowOff>0</xdr:rowOff>
    </xdr:from>
    <xdr:to>
      <xdr:col>30</xdr:col>
      <xdr:colOff>190500</xdr:colOff>
      <xdr:row>19</xdr:row>
      <xdr:rowOff>9525</xdr:rowOff>
    </xdr:to>
    <xdr:sp macro="" textlink="">
      <xdr:nvSpPr>
        <xdr:cNvPr id="30" name="Freeform 36">
          <a:extLst>
            <a:ext uri="{FF2B5EF4-FFF2-40B4-BE49-F238E27FC236}">
              <a16:creationId xmlns:a16="http://schemas.microsoft.com/office/drawing/2014/main" id="{00000000-0008-0000-0000-0000EA1E0000}"/>
            </a:ext>
          </a:extLst>
        </xdr:cNvPr>
        <xdr:cNvSpPr>
          <a:spLocks/>
        </xdr:cNvSpPr>
      </xdr:nvSpPr>
      <xdr:spPr bwMode="auto">
        <a:xfrm>
          <a:off x="4267200" y="3086100"/>
          <a:ext cx="1390650" cy="180975"/>
        </a:xfrm>
        <a:custGeom>
          <a:avLst/>
          <a:gdLst>
            <a:gd name="T0" fmla="*/ 2147483647 w 146"/>
            <a:gd name="T1" fmla="*/ 0 h 19"/>
            <a:gd name="T2" fmla="*/ 2147483647 w 146"/>
            <a:gd name="T3" fmla="*/ 0 h 19"/>
            <a:gd name="T4" fmla="*/ 0 w 146"/>
            <a:gd name="T5" fmla="*/ 2147483647 h 19"/>
            <a:gd name="T6" fmla="*/ 0 60000 65536"/>
            <a:gd name="T7" fmla="*/ 0 60000 65536"/>
            <a:gd name="T8" fmla="*/ 0 60000 65536"/>
            <a:gd name="T9" fmla="*/ 0 w 146"/>
            <a:gd name="T10" fmla="*/ 0 h 19"/>
            <a:gd name="T11" fmla="*/ 146 w 146"/>
            <a:gd name="T12" fmla="*/ 19 h 1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46" h="19">
              <a:moveTo>
                <a:pt x="146" y="0"/>
              </a:moveTo>
              <a:lnTo>
                <a:pt x="63" y="0"/>
              </a:lnTo>
              <a:lnTo>
                <a:pt x="0" y="19"/>
              </a:lnTo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arrow" w="sm" len="med"/>
        </a:ln>
      </xdr:spPr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0</xdr:colOff>
      <xdr:row>50</xdr:row>
      <xdr:rowOff>0</xdr:rowOff>
    </xdr:to>
    <xdr:sp macro="" textlink="">
      <xdr:nvSpPr>
        <xdr:cNvPr id="31" name="Line 38">
          <a:extLst>
            <a:ext uri="{FF2B5EF4-FFF2-40B4-BE49-F238E27FC236}">
              <a16:creationId xmlns:a16="http://schemas.microsoft.com/office/drawing/2014/main" id="{00000000-0008-0000-0000-0000EB1E000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686550"/>
          <a:ext cx="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30</xdr:col>
      <xdr:colOff>0</xdr:colOff>
      <xdr:row>39</xdr:row>
      <xdr:rowOff>0</xdr:rowOff>
    </xdr:from>
    <xdr:to>
      <xdr:col>30</xdr:col>
      <xdr:colOff>0</xdr:colOff>
      <xdr:row>53</xdr:row>
      <xdr:rowOff>0</xdr:rowOff>
    </xdr:to>
    <xdr:sp macro="" textlink="">
      <xdr:nvSpPr>
        <xdr:cNvPr id="32" name="Line 39">
          <a:extLst>
            <a:ext uri="{FF2B5EF4-FFF2-40B4-BE49-F238E27FC236}">
              <a16:creationId xmlns:a16="http://schemas.microsoft.com/office/drawing/2014/main" id="{00000000-0008-0000-0000-0000EC1E0000}"/>
            </a:ext>
          </a:extLst>
        </xdr:cNvPr>
        <xdr:cNvSpPr>
          <a:spLocks noChangeShapeType="1"/>
        </xdr:cNvSpPr>
      </xdr:nvSpPr>
      <xdr:spPr bwMode="auto">
        <a:xfrm flipH="1" flipV="1">
          <a:off x="5467350" y="6686550"/>
          <a:ext cx="0" cy="222885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0</xdr:colOff>
      <xdr:row>52</xdr:row>
      <xdr:rowOff>0</xdr:rowOff>
    </xdr:to>
    <xdr:sp macro="" textlink="">
      <xdr:nvSpPr>
        <xdr:cNvPr id="33" name="Line 40">
          <a:extLst>
            <a:ext uri="{FF2B5EF4-FFF2-40B4-BE49-F238E27FC236}">
              <a16:creationId xmlns:a16="http://schemas.microsoft.com/office/drawing/2014/main" id="{00000000-0008-0000-0000-0000ED1E0000}"/>
            </a:ext>
          </a:extLst>
        </xdr:cNvPr>
        <xdr:cNvSpPr>
          <a:spLocks noChangeShapeType="1"/>
        </xdr:cNvSpPr>
      </xdr:nvSpPr>
      <xdr:spPr bwMode="auto">
        <a:xfrm flipV="1">
          <a:off x="5067300" y="8401050"/>
          <a:ext cx="0" cy="3429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0</xdr:colOff>
      <xdr:row>55</xdr:row>
      <xdr:rowOff>0</xdr:rowOff>
    </xdr:to>
    <xdr:sp macro="" textlink="">
      <xdr:nvSpPr>
        <xdr:cNvPr id="34" name="Line 42">
          <a:extLst>
            <a:ext uri="{FF2B5EF4-FFF2-40B4-BE49-F238E27FC236}">
              <a16:creationId xmlns:a16="http://schemas.microsoft.com/office/drawing/2014/main" id="{00000000-0008-0000-0000-0000EE1E0000}"/>
            </a:ext>
          </a:extLst>
        </xdr:cNvPr>
        <xdr:cNvSpPr>
          <a:spLocks noChangeShapeType="1"/>
        </xdr:cNvSpPr>
      </xdr:nvSpPr>
      <xdr:spPr bwMode="auto">
        <a:xfrm flipH="1">
          <a:off x="5067300" y="8915400"/>
          <a:ext cx="0" cy="3429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none" w="lg" len="lg"/>
        </a:ln>
      </xdr:spPr>
    </xdr:sp>
    <xdr:clientData/>
  </xdr:twoCellAnchor>
  <xdr:twoCellAnchor editAs="absolute">
    <xdr:from>
      <xdr:col>34</xdr:col>
      <xdr:colOff>28575</xdr:colOff>
      <xdr:row>4</xdr:row>
      <xdr:rowOff>19050</xdr:rowOff>
    </xdr:from>
    <xdr:to>
      <xdr:col>37</xdr:col>
      <xdr:colOff>161925</xdr:colOff>
      <xdr:row>8</xdr:row>
      <xdr:rowOff>47625</xdr:rowOff>
    </xdr:to>
    <xdr:grpSp>
      <xdr:nvGrpSpPr>
        <xdr:cNvPr id="35" name="Group 51">
          <a:extLst>
            <a:ext uri="{FF2B5EF4-FFF2-40B4-BE49-F238E27FC236}">
              <a16:creationId xmlns:a16="http://schemas.microsoft.com/office/drawing/2014/main" id="{00000000-0008-0000-0000-0000EF1E0000}"/>
            </a:ext>
          </a:extLst>
        </xdr:cNvPr>
        <xdr:cNvGrpSpPr>
          <a:grpSpLocks/>
        </xdr:cNvGrpSpPr>
      </xdr:nvGrpSpPr>
      <xdr:grpSpPr bwMode="auto">
        <a:xfrm>
          <a:off x="6423932" y="726621"/>
          <a:ext cx="745672" cy="736147"/>
          <a:chOff x="5" y="95"/>
          <a:chExt cx="76" cy="76"/>
        </a:xfrm>
      </xdr:grpSpPr>
      <xdr:sp macro="" textlink="">
        <xdr:nvSpPr>
          <xdr:cNvPr id="36" name="Oval 45">
            <a:extLst>
              <a:ext uri="{FF2B5EF4-FFF2-40B4-BE49-F238E27FC236}">
                <a16:creationId xmlns:a16="http://schemas.microsoft.com/office/drawing/2014/main" id="{00000000-0008-0000-0000-0000FD1E0000}"/>
              </a:ext>
            </a:extLst>
          </xdr:cNvPr>
          <xdr:cNvSpPr>
            <a:spLocks noChangeArrowheads="1"/>
          </xdr:cNvSpPr>
        </xdr:nvSpPr>
        <xdr:spPr bwMode="auto">
          <a:xfrm>
            <a:off x="24" y="114"/>
            <a:ext cx="38" cy="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Oval 46">
            <a:extLst>
              <a:ext uri="{FF2B5EF4-FFF2-40B4-BE49-F238E27FC236}">
                <a16:creationId xmlns:a16="http://schemas.microsoft.com/office/drawing/2014/main" id="{00000000-0008-0000-0000-0000FE1E0000}"/>
              </a:ext>
            </a:extLst>
          </xdr:cNvPr>
          <xdr:cNvSpPr>
            <a:spLocks noChangeArrowheads="1"/>
          </xdr:cNvSpPr>
        </xdr:nvSpPr>
        <xdr:spPr bwMode="auto">
          <a:xfrm>
            <a:off x="28" y="118"/>
            <a:ext cx="30" cy="30"/>
          </a:xfrm>
          <a:prstGeom prst="ellips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Line 49">
            <a:extLst>
              <a:ext uri="{FF2B5EF4-FFF2-40B4-BE49-F238E27FC236}">
                <a16:creationId xmlns:a16="http://schemas.microsoft.com/office/drawing/2014/main" id="{00000000-0008-0000-0000-0000FF1E0000}"/>
              </a:ext>
            </a:extLst>
          </xdr:cNvPr>
          <xdr:cNvSpPr>
            <a:spLocks noChangeShapeType="1"/>
          </xdr:cNvSpPr>
        </xdr:nvSpPr>
        <xdr:spPr bwMode="auto">
          <a:xfrm>
            <a:off x="43" y="95"/>
            <a:ext cx="0" cy="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50">
            <a:extLst>
              <a:ext uri="{FF2B5EF4-FFF2-40B4-BE49-F238E27FC236}">
                <a16:creationId xmlns:a16="http://schemas.microsoft.com/office/drawing/2014/main" id="{00000000-0008-0000-0000-0000001F0000}"/>
              </a:ext>
            </a:extLst>
          </xdr:cNvPr>
          <xdr:cNvSpPr>
            <a:spLocks noChangeShapeType="1"/>
          </xdr:cNvSpPr>
        </xdr:nvSpPr>
        <xdr:spPr bwMode="auto">
          <a:xfrm>
            <a:off x="5" y="133"/>
            <a:ext cx="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 fLocksWithSheet="0"/>
  </xdr:twoCellAnchor>
  <xdr:twoCellAnchor>
    <xdr:from>
      <xdr:col>9</xdr:col>
      <xdr:colOff>0</xdr:colOff>
      <xdr:row>39</xdr:row>
      <xdr:rowOff>0</xdr:rowOff>
    </xdr:from>
    <xdr:to>
      <xdr:col>9</xdr:col>
      <xdr:colOff>0</xdr:colOff>
      <xdr:row>44</xdr:row>
      <xdr:rowOff>0</xdr:rowOff>
    </xdr:to>
    <xdr:sp macro="" textlink="">
      <xdr:nvSpPr>
        <xdr:cNvPr id="40" name="Line 52">
          <a:extLst>
            <a:ext uri="{FF2B5EF4-FFF2-40B4-BE49-F238E27FC236}">
              <a16:creationId xmlns:a16="http://schemas.microsoft.com/office/drawing/2014/main" id="{00000000-0008-0000-0000-0000F01E0000}"/>
            </a:ext>
          </a:extLst>
        </xdr:cNvPr>
        <xdr:cNvSpPr>
          <a:spLocks noChangeShapeType="1"/>
        </xdr:cNvSpPr>
      </xdr:nvSpPr>
      <xdr:spPr bwMode="auto">
        <a:xfrm flipH="1" flipV="1">
          <a:off x="1800225" y="6686550"/>
          <a:ext cx="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7</xdr:col>
      <xdr:colOff>76200</xdr:colOff>
      <xdr:row>18</xdr:row>
      <xdr:rowOff>104775</xdr:rowOff>
    </xdr:from>
    <xdr:to>
      <xdr:col>11</xdr:col>
      <xdr:colOff>104775</xdr:colOff>
      <xdr:row>20</xdr:row>
      <xdr:rowOff>66675</xdr:rowOff>
    </xdr:to>
    <xdr:sp macro="" textlink="">
      <xdr:nvSpPr>
        <xdr:cNvPr id="41" name="Rectangle 53">
          <a:extLst>
            <a:ext uri="{FF2B5EF4-FFF2-40B4-BE49-F238E27FC236}">
              <a16:creationId xmlns:a16="http://schemas.microsoft.com/office/drawing/2014/main" id="{00000000-0008-0000-0000-0000F11E0000}"/>
            </a:ext>
          </a:extLst>
        </xdr:cNvPr>
        <xdr:cNvSpPr>
          <a:spLocks noChangeArrowheads="1"/>
        </xdr:cNvSpPr>
      </xdr:nvSpPr>
      <xdr:spPr bwMode="auto">
        <a:xfrm>
          <a:off x="1476375" y="3190875"/>
          <a:ext cx="828675" cy="3048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45</xdr:row>
      <xdr:rowOff>133350</xdr:rowOff>
    </xdr:from>
    <xdr:to>
      <xdr:col>11</xdr:col>
      <xdr:colOff>76200</xdr:colOff>
      <xdr:row>47</xdr:row>
      <xdr:rowOff>104775</xdr:rowOff>
    </xdr:to>
    <xdr:sp macro="" textlink="">
      <xdr:nvSpPr>
        <xdr:cNvPr id="42" name="Freeform 54">
          <a:extLst>
            <a:ext uri="{FF2B5EF4-FFF2-40B4-BE49-F238E27FC236}">
              <a16:creationId xmlns:a16="http://schemas.microsoft.com/office/drawing/2014/main" id="{00000000-0008-0000-0000-0000F21E0000}"/>
            </a:ext>
          </a:extLst>
        </xdr:cNvPr>
        <xdr:cNvSpPr>
          <a:spLocks/>
        </xdr:cNvSpPr>
      </xdr:nvSpPr>
      <xdr:spPr bwMode="auto">
        <a:xfrm>
          <a:off x="1524000" y="7677150"/>
          <a:ext cx="752475" cy="314325"/>
        </a:xfrm>
        <a:custGeom>
          <a:avLst/>
          <a:gdLst>
            <a:gd name="T0" fmla="*/ 0 w 79"/>
            <a:gd name="T1" fmla="*/ 0 h 33"/>
            <a:gd name="T2" fmla="*/ 0 w 79"/>
            <a:gd name="T3" fmla="*/ 2147483647 h 33"/>
            <a:gd name="T4" fmla="*/ 2147483647 w 79"/>
            <a:gd name="T5" fmla="*/ 2147483647 h 33"/>
            <a:gd name="T6" fmla="*/ 2147483647 w 79"/>
            <a:gd name="T7" fmla="*/ 2147483647 h 33"/>
            <a:gd name="T8" fmla="*/ 0 w 79"/>
            <a:gd name="T9" fmla="*/ 0 h 3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79"/>
            <a:gd name="T16" fmla="*/ 0 h 33"/>
            <a:gd name="T17" fmla="*/ 79 w 79"/>
            <a:gd name="T18" fmla="*/ 33 h 3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79" h="33">
              <a:moveTo>
                <a:pt x="0" y="0"/>
              </a:moveTo>
              <a:lnTo>
                <a:pt x="0" y="26"/>
              </a:lnTo>
              <a:lnTo>
                <a:pt x="79" y="33"/>
              </a:lnTo>
              <a:lnTo>
                <a:pt x="79" y="7"/>
              </a:lnTo>
              <a:lnTo>
                <a:pt x="0" y="0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171450</xdr:colOff>
      <xdr:row>47</xdr:row>
      <xdr:rowOff>85725</xdr:rowOff>
    </xdr:from>
    <xdr:to>
      <xdr:col>13</xdr:col>
      <xdr:colOff>28575</xdr:colOff>
      <xdr:row>50</xdr:row>
      <xdr:rowOff>0</xdr:rowOff>
    </xdr:to>
    <xdr:sp macro="" textlink="">
      <xdr:nvSpPr>
        <xdr:cNvPr id="43" name="Freeform 55">
          <a:extLst>
            <a:ext uri="{FF2B5EF4-FFF2-40B4-BE49-F238E27FC236}">
              <a16:creationId xmlns:a16="http://schemas.microsoft.com/office/drawing/2014/main" id="{00000000-0008-0000-0000-0000F31E0000}"/>
            </a:ext>
          </a:extLst>
        </xdr:cNvPr>
        <xdr:cNvSpPr>
          <a:spLocks/>
        </xdr:cNvSpPr>
      </xdr:nvSpPr>
      <xdr:spPr bwMode="auto">
        <a:xfrm>
          <a:off x="1771650" y="7972425"/>
          <a:ext cx="857250" cy="428625"/>
        </a:xfrm>
        <a:custGeom>
          <a:avLst/>
          <a:gdLst>
            <a:gd name="T0" fmla="*/ 0 w 90"/>
            <a:gd name="T1" fmla="*/ 0 h 45"/>
            <a:gd name="T2" fmla="*/ 2147483647 w 90"/>
            <a:gd name="T3" fmla="*/ 2147483647 h 45"/>
            <a:gd name="T4" fmla="*/ 2147483647 w 90"/>
            <a:gd name="T5" fmla="*/ 2147483647 h 45"/>
            <a:gd name="T6" fmla="*/ 0 60000 65536"/>
            <a:gd name="T7" fmla="*/ 0 60000 65536"/>
            <a:gd name="T8" fmla="*/ 0 60000 65536"/>
            <a:gd name="T9" fmla="*/ 0 w 90"/>
            <a:gd name="T10" fmla="*/ 0 h 45"/>
            <a:gd name="T11" fmla="*/ 90 w 90"/>
            <a:gd name="T12" fmla="*/ 45 h 4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90" h="45">
              <a:moveTo>
                <a:pt x="0" y="0"/>
              </a:moveTo>
              <a:lnTo>
                <a:pt x="24" y="45"/>
              </a:lnTo>
              <a:lnTo>
                <a:pt x="90" y="45"/>
              </a:lnTo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 type="arrow" w="sm" len="med"/>
          <a:tailEnd type="none" w="med" len="med"/>
        </a:ln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48</xdr:row>
      <xdr:rowOff>57150</xdr:rowOff>
    </xdr:to>
    <xdr:sp macro="" textlink="">
      <xdr:nvSpPr>
        <xdr:cNvPr id="44" name="Line 58">
          <a:extLst>
            <a:ext uri="{FF2B5EF4-FFF2-40B4-BE49-F238E27FC236}">
              <a16:creationId xmlns:a16="http://schemas.microsoft.com/office/drawing/2014/main" id="{00000000-0008-0000-0000-0000F41E0000}"/>
            </a:ext>
          </a:extLst>
        </xdr:cNvPr>
        <xdr:cNvSpPr>
          <a:spLocks noChangeShapeType="1"/>
        </xdr:cNvSpPr>
      </xdr:nvSpPr>
      <xdr:spPr bwMode="auto">
        <a:xfrm>
          <a:off x="2200275" y="7372350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48</xdr:row>
      <xdr:rowOff>0</xdr:rowOff>
    </xdr:from>
    <xdr:to>
      <xdr:col>11</xdr:col>
      <xdr:colOff>0</xdr:colOff>
      <xdr:row>48</xdr:row>
      <xdr:rowOff>57150</xdr:rowOff>
    </xdr:to>
    <xdr:sp macro="" textlink="">
      <xdr:nvSpPr>
        <xdr:cNvPr id="45" name="Line 60">
          <a:extLst>
            <a:ext uri="{FF2B5EF4-FFF2-40B4-BE49-F238E27FC236}">
              <a16:creationId xmlns:a16="http://schemas.microsoft.com/office/drawing/2014/main" id="{00000000-0008-0000-0000-0000F51E0000}"/>
            </a:ext>
          </a:extLst>
        </xdr:cNvPr>
        <xdr:cNvSpPr>
          <a:spLocks noChangeShapeType="1"/>
        </xdr:cNvSpPr>
      </xdr:nvSpPr>
      <xdr:spPr bwMode="auto">
        <a:xfrm>
          <a:off x="1600200" y="8058150"/>
          <a:ext cx="600075" cy="571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46</xdr:row>
      <xdr:rowOff>47625</xdr:rowOff>
    </xdr:from>
    <xdr:to>
      <xdr:col>19</xdr:col>
      <xdr:colOff>47625</xdr:colOff>
      <xdr:row>46</xdr:row>
      <xdr:rowOff>161925</xdr:rowOff>
    </xdr:to>
    <xdr:sp macro="" textlink="">
      <xdr:nvSpPr>
        <xdr:cNvPr id="46" name="Line 62">
          <a:extLst>
            <a:ext uri="{FF2B5EF4-FFF2-40B4-BE49-F238E27FC236}">
              <a16:creationId xmlns:a16="http://schemas.microsoft.com/office/drawing/2014/main" id="{00000000-0008-0000-0000-0000F61E0000}"/>
            </a:ext>
          </a:extLst>
        </xdr:cNvPr>
        <xdr:cNvSpPr>
          <a:spLocks noChangeShapeType="1"/>
        </xdr:cNvSpPr>
      </xdr:nvSpPr>
      <xdr:spPr bwMode="auto">
        <a:xfrm flipV="1">
          <a:off x="3724275" y="7762875"/>
          <a:ext cx="123825" cy="114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49</xdr:row>
      <xdr:rowOff>142875</xdr:rowOff>
    </xdr:from>
    <xdr:to>
      <xdr:col>24</xdr:col>
      <xdr:colOff>85725</xdr:colOff>
      <xdr:row>50</xdr:row>
      <xdr:rowOff>66675</xdr:rowOff>
    </xdr:to>
    <xdr:sp macro="" textlink="">
      <xdr:nvSpPr>
        <xdr:cNvPr id="47" name="Line 63">
          <a:extLst>
            <a:ext uri="{FF2B5EF4-FFF2-40B4-BE49-F238E27FC236}">
              <a16:creationId xmlns:a16="http://schemas.microsoft.com/office/drawing/2014/main" id="{00000000-0008-0000-0000-0000F71E0000}"/>
            </a:ext>
          </a:extLst>
        </xdr:cNvPr>
        <xdr:cNvSpPr>
          <a:spLocks noChangeShapeType="1"/>
        </xdr:cNvSpPr>
      </xdr:nvSpPr>
      <xdr:spPr bwMode="auto">
        <a:xfrm flipV="1">
          <a:off x="4248150" y="8372475"/>
          <a:ext cx="104775" cy="952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</xdr:colOff>
      <xdr:row>46</xdr:row>
      <xdr:rowOff>66675</xdr:rowOff>
    </xdr:from>
    <xdr:to>
      <xdr:col>24</xdr:col>
      <xdr:colOff>47625</xdr:colOff>
      <xdr:row>50</xdr:row>
      <xdr:rowOff>9525</xdr:rowOff>
    </xdr:to>
    <xdr:sp macro="" textlink="">
      <xdr:nvSpPr>
        <xdr:cNvPr id="48" name="Line 64">
          <a:extLst>
            <a:ext uri="{FF2B5EF4-FFF2-40B4-BE49-F238E27FC236}">
              <a16:creationId xmlns:a16="http://schemas.microsoft.com/office/drawing/2014/main" id="{00000000-0008-0000-0000-0000F81E0000}"/>
            </a:ext>
          </a:extLst>
        </xdr:cNvPr>
        <xdr:cNvSpPr>
          <a:spLocks noChangeShapeType="1"/>
        </xdr:cNvSpPr>
      </xdr:nvSpPr>
      <xdr:spPr bwMode="auto">
        <a:xfrm>
          <a:off x="3819525" y="7781925"/>
          <a:ext cx="495300" cy="62865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26</xdr:col>
      <xdr:colOff>0</xdr:colOff>
      <xdr:row>35</xdr:row>
      <xdr:rowOff>0</xdr:rowOff>
    </xdr:from>
    <xdr:to>
      <xdr:col>32</xdr:col>
      <xdr:colOff>0</xdr:colOff>
      <xdr:row>35</xdr:row>
      <xdr:rowOff>0</xdr:rowOff>
    </xdr:to>
    <xdr:sp macro="" textlink="">
      <xdr:nvSpPr>
        <xdr:cNvPr id="49" name="Line 166">
          <a:extLst>
            <a:ext uri="{FF2B5EF4-FFF2-40B4-BE49-F238E27FC236}">
              <a16:creationId xmlns:a16="http://schemas.microsoft.com/office/drawing/2014/main" id="{00000000-0008-0000-0000-0000F91E0000}"/>
            </a:ext>
          </a:extLst>
        </xdr:cNvPr>
        <xdr:cNvSpPr>
          <a:spLocks noChangeShapeType="1"/>
        </xdr:cNvSpPr>
      </xdr:nvSpPr>
      <xdr:spPr bwMode="auto">
        <a:xfrm flipV="1">
          <a:off x="4667250" y="6000750"/>
          <a:ext cx="1200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20</xdr:col>
      <xdr:colOff>0</xdr:colOff>
      <xdr:row>50</xdr:row>
      <xdr:rowOff>47625</xdr:rowOff>
    </xdr:from>
    <xdr:to>
      <xdr:col>24</xdr:col>
      <xdr:colOff>0</xdr:colOff>
      <xdr:row>51</xdr:row>
      <xdr:rowOff>142875</xdr:rowOff>
    </xdr:to>
    <xdr:sp macro="" textlink="">
      <xdr:nvSpPr>
        <xdr:cNvPr id="50" name="Oval 14">
          <a:extLst>
            <a:ext uri="{FF2B5EF4-FFF2-40B4-BE49-F238E27FC236}">
              <a16:creationId xmlns:a16="http://schemas.microsoft.com/office/drawing/2014/main" id="{00000000-0008-0000-0000-0000FA1E0000}"/>
            </a:ext>
          </a:extLst>
        </xdr:cNvPr>
        <xdr:cNvSpPr>
          <a:spLocks noChangeArrowheads="1"/>
        </xdr:cNvSpPr>
      </xdr:nvSpPr>
      <xdr:spPr bwMode="auto">
        <a:xfrm>
          <a:off x="4000500" y="8448675"/>
          <a:ext cx="2667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38100</xdr:colOff>
      <xdr:row>51</xdr:row>
      <xdr:rowOff>85725</xdr:rowOff>
    </xdr:from>
    <xdr:to>
      <xdr:col>30</xdr:col>
      <xdr:colOff>9525</xdr:colOff>
      <xdr:row>57</xdr:row>
      <xdr:rowOff>0</xdr:rowOff>
    </xdr:to>
    <xdr:sp macro="" textlink="">
      <xdr:nvSpPr>
        <xdr:cNvPr id="51" name="Freeform 70">
          <a:extLst>
            <a:ext uri="{FF2B5EF4-FFF2-40B4-BE49-F238E27FC236}">
              <a16:creationId xmlns:a16="http://schemas.microsoft.com/office/drawing/2014/main" id="{00000000-0008-0000-0000-0000FB1E0000}"/>
            </a:ext>
          </a:extLst>
        </xdr:cNvPr>
        <xdr:cNvSpPr>
          <a:spLocks/>
        </xdr:cNvSpPr>
      </xdr:nvSpPr>
      <xdr:spPr bwMode="auto">
        <a:xfrm>
          <a:off x="4171950" y="8658225"/>
          <a:ext cx="1304925" cy="942975"/>
        </a:xfrm>
        <a:custGeom>
          <a:avLst/>
          <a:gdLst>
            <a:gd name="T0" fmla="*/ 2147483647 w 137"/>
            <a:gd name="T1" fmla="*/ 2147483647 h 99"/>
            <a:gd name="T2" fmla="*/ 2147483647 w 137"/>
            <a:gd name="T3" fmla="*/ 2147483647 h 99"/>
            <a:gd name="T4" fmla="*/ 0 w 137"/>
            <a:gd name="T5" fmla="*/ 0 h 99"/>
            <a:gd name="T6" fmla="*/ 0 60000 65536"/>
            <a:gd name="T7" fmla="*/ 0 60000 65536"/>
            <a:gd name="T8" fmla="*/ 0 60000 65536"/>
            <a:gd name="T9" fmla="*/ 0 w 137"/>
            <a:gd name="T10" fmla="*/ 0 h 99"/>
            <a:gd name="T11" fmla="*/ 137 w 137"/>
            <a:gd name="T12" fmla="*/ 99 h 9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37" h="99">
              <a:moveTo>
                <a:pt x="137" y="99"/>
              </a:moveTo>
              <a:lnTo>
                <a:pt x="54" y="99"/>
              </a:lnTo>
              <a:lnTo>
                <a:pt x="0" y="0"/>
              </a:lnTo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arrow" w="sm" len="med"/>
        </a:ln>
      </xdr:spPr>
    </xdr:sp>
    <xdr:clientData/>
  </xdr:twoCellAnchor>
  <xdr:twoCellAnchor>
    <xdr:from>
      <xdr:col>25</xdr:col>
      <xdr:colOff>66675</xdr:colOff>
      <xdr:row>49</xdr:row>
      <xdr:rowOff>0</xdr:rowOff>
    </xdr:from>
    <xdr:to>
      <xdr:col>25</xdr:col>
      <xdr:colOff>66675</xdr:colOff>
      <xdr:row>53</xdr:row>
      <xdr:rowOff>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000-0000FC1E0000}"/>
            </a:ext>
          </a:extLst>
        </xdr:cNvPr>
        <xdr:cNvSpPr>
          <a:spLocks noChangeShapeType="1"/>
        </xdr:cNvSpPr>
      </xdr:nvSpPr>
      <xdr:spPr bwMode="auto">
        <a:xfrm flipV="1">
          <a:off x="4533900" y="8229600"/>
          <a:ext cx="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81</xdr:col>
      <xdr:colOff>161925</xdr:colOff>
      <xdr:row>25</xdr:row>
      <xdr:rowOff>0</xdr:rowOff>
    </xdr:from>
    <xdr:to>
      <xdr:col>93</xdr:col>
      <xdr:colOff>355786</xdr:colOff>
      <xdr:row>37</xdr:row>
      <xdr:rowOff>142875</xdr:rowOff>
    </xdr:to>
    <xdr:sp macro="" textlink="">
      <xdr:nvSpPr>
        <xdr:cNvPr id="56" name="テキスト ボックス 55"/>
        <xdr:cNvSpPr txBox="1"/>
      </xdr:nvSpPr>
      <xdr:spPr>
        <a:xfrm>
          <a:off x="14830425" y="4286250"/>
          <a:ext cx="8423461" cy="220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latin typeface="+mn-ea"/>
              <a:ea typeface="+mn-ea"/>
            </a:rPr>
            <a:t>・　　　　　に入力（選択）</a:t>
          </a:r>
          <a:endParaRPr kumimoji="1" lang="en-US" altLang="ja-JP" sz="1400" b="1">
            <a:latin typeface="+mn-ea"/>
            <a:ea typeface="+mn-ea"/>
          </a:endParaRPr>
        </a:p>
        <a:p>
          <a:endParaRPr kumimoji="1" lang="en-US" altLang="ja-JP" sz="1400" b="1">
            <a:latin typeface="+mn-ea"/>
            <a:ea typeface="+mn-ea"/>
          </a:endParaRPr>
        </a:p>
        <a:p>
          <a:r>
            <a:rPr kumimoji="1" lang="ja-JP" altLang="en-US" sz="1400" b="1">
              <a:latin typeface="+mn-ea"/>
              <a:ea typeface="+mn-ea"/>
            </a:rPr>
            <a:t>・平面図・横断図・数量計算書があれば任意様式で可。</a:t>
          </a:r>
          <a:endParaRPr kumimoji="1" lang="en-US" altLang="ja-JP" sz="1400" b="1">
            <a:latin typeface="+mn-ea"/>
            <a:ea typeface="+mn-ea"/>
          </a:endParaRPr>
        </a:p>
        <a:p>
          <a:r>
            <a:rPr kumimoji="1" lang="ja-JP" altLang="en-US" sz="1400" b="1">
              <a:latin typeface="+mn-ea"/>
              <a:ea typeface="+mn-ea"/>
            </a:rPr>
            <a:t>　その場合、表紙に受注者名・業務名・箇所・期間・施工計画図であることを明記して提出する。</a:t>
          </a:r>
          <a:endParaRPr kumimoji="1" lang="en-US" altLang="ja-JP" sz="1400" b="1">
            <a:latin typeface="+mn-ea"/>
            <a:ea typeface="+mn-ea"/>
          </a:endParaRPr>
        </a:p>
        <a:p>
          <a:endParaRPr kumimoji="1" lang="en-US" altLang="ja-JP" sz="1400" b="1">
            <a:latin typeface="+mn-ea"/>
            <a:ea typeface="+mn-ea"/>
          </a:endParaRPr>
        </a:p>
        <a:p>
          <a:r>
            <a:rPr kumimoji="1" lang="ja-JP" altLang="en-US" sz="1400" b="1">
              <a:latin typeface="+mn-ea"/>
              <a:ea typeface="+mn-ea"/>
            </a:rPr>
            <a:t>・施工計画図の提出、承諾をもって掘削許可申請を行います。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458080</xdr:colOff>
          <xdr:row>26</xdr:row>
          <xdr:rowOff>15529</xdr:rowOff>
        </xdr:from>
        <xdr:to>
          <xdr:col>82</xdr:col>
          <xdr:colOff>583106</xdr:colOff>
          <xdr:row>27</xdr:row>
          <xdr:rowOff>160405</xdr:rowOff>
        </xdr:to>
        <xdr:pic>
          <xdr:nvPicPr>
            <xdr:cNvPr id="57" name="図 56"/>
            <xdr:cNvPicPr>
              <a:picLocks noChangeAspect="1" noChangeArrowheads="1"/>
              <a:extLst>
                <a:ext uri="{84589F7E-364E-4C9E-8A38-B11213B215E9}">
                  <a14:cameraTool cellRange="#REF!" spid="_x0000_s12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126580" y="4473229"/>
              <a:ext cx="810826" cy="3163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47</xdr:col>
      <xdr:colOff>1</xdr:colOff>
      <xdr:row>58</xdr:row>
      <xdr:rowOff>112058</xdr:rowOff>
    </xdr:from>
    <xdr:to>
      <xdr:col>70</xdr:col>
      <xdr:colOff>112060</xdr:colOff>
      <xdr:row>63</xdr:row>
      <xdr:rowOff>118479</xdr:rowOff>
    </xdr:to>
    <xdr:pic>
      <xdr:nvPicPr>
        <xdr:cNvPr id="59" name="図 5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2295" y="9704293"/>
          <a:ext cx="4751294" cy="84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45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2" name="Freeform 199" descr="20%">
          <a:extLst>
            <a:ext uri="{FF2B5EF4-FFF2-40B4-BE49-F238E27FC236}">
              <a16:creationId xmlns:a16="http://schemas.microsoft.com/office/drawing/2014/main" id="{00000000-0008-0000-0000-0000CD1E0000}"/>
            </a:ext>
          </a:extLst>
        </xdr:cNvPr>
        <xdr:cNvSpPr>
          <a:spLocks/>
        </xdr:cNvSpPr>
      </xdr:nvSpPr>
      <xdr:spPr bwMode="auto">
        <a:xfrm>
          <a:off x="1000125" y="7543800"/>
          <a:ext cx="600075" cy="514350"/>
        </a:xfrm>
        <a:custGeom>
          <a:avLst/>
          <a:gdLst>
            <a:gd name="T0" fmla="*/ 0 w 63"/>
            <a:gd name="T1" fmla="*/ 0 h 54"/>
            <a:gd name="T2" fmla="*/ 2147483647 w 63"/>
            <a:gd name="T3" fmla="*/ 0 h 54"/>
            <a:gd name="T4" fmla="*/ 2147483647 w 63"/>
            <a:gd name="T5" fmla="*/ 2147483647 h 54"/>
            <a:gd name="T6" fmla="*/ 0 w 63"/>
            <a:gd name="T7" fmla="*/ 2147483647 h 54"/>
            <a:gd name="T8" fmla="*/ 0 w 63"/>
            <a:gd name="T9" fmla="*/ 0 h 5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63"/>
            <a:gd name="T16" fmla="*/ 0 h 54"/>
            <a:gd name="T17" fmla="*/ 63 w 63"/>
            <a:gd name="T18" fmla="*/ 54 h 5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63" h="54">
              <a:moveTo>
                <a:pt x="0" y="0"/>
              </a:moveTo>
              <a:lnTo>
                <a:pt x="63" y="0"/>
              </a:lnTo>
              <a:lnTo>
                <a:pt x="63" y="54"/>
              </a:lnTo>
              <a:lnTo>
                <a:pt x="0" y="54"/>
              </a:lnTo>
              <a:lnTo>
                <a:pt x="0" y="0"/>
              </a:lnTo>
              <a:close/>
            </a:path>
          </a:pathLst>
        </a:custGeom>
        <a:pattFill prst="pct20">
          <a:fgClr>
            <a:srgbClr val="000000">
              <a:alpha val="39999"/>
            </a:srgbClr>
          </a:fgClr>
          <a:bgClr>
            <a:srgbClr val="FFFFFF">
              <a:alpha val="39999"/>
            </a:srgbClr>
          </a:bgClr>
        </a:pattFill>
        <a:ln w="317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11</xdr:col>
      <xdr:colOff>0</xdr:colOff>
      <xdr:row>45</xdr:row>
      <xdr:rowOff>57150</xdr:rowOff>
    </xdr:from>
    <xdr:to>
      <xdr:col>26</xdr:col>
      <xdr:colOff>0</xdr:colOff>
      <xdr:row>53</xdr:row>
      <xdr:rowOff>0</xdr:rowOff>
    </xdr:to>
    <xdr:sp macro="" textlink="">
      <xdr:nvSpPr>
        <xdr:cNvPr id="3" name="Freeform 198" descr="20%">
          <a:extLst>
            <a:ext uri="{FF2B5EF4-FFF2-40B4-BE49-F238E27FC236}">
              <a16:creationId xmlns:a16="http://schemas.microsoft.com/office/drawing/2014/main" id="{00000000-0008-0000-0000-0000CE1E0000}"/>
            </a:ext>
          </a:extLst>
        </xdr:cNvPr>
        <xdr:cNvSpPr>
          <a:spLocks/>
        </xdr:cNvSpPr>
      </xdr:nvSpPr>
      <xdr:spPr bwMode="auto">
        <a:xfrm>
          <a:off x="2200275" y="7600950"/>
          <a:ext cx="2466975" cy="1314450"/>
        </a:xfrm>
        <a:custGeom>
          <a:avLst/>
          <a:gdLst>
            <a:gd name="T0" fmla="*/ 2147483647 w 259"/>
            <a:gd name="T1" fmla="*/ 2147483647 h 138"/>
            <a:gd name="T2" fmla="*/ 0 w 259"/>
            <a:gd name="T3" fmla="*/ 2147483647 h 138"/>
            <a:gd name="T4" fmla="*/ 0 w 259"/>
            <a:gd name="T5" fmla="*/ 0 h 138"/>
            <a:gd name="T6" fmla="*/ 2147483647 w 259"/>
            <a:gd name="T7" fmla="*/ 2147483647 h 138"/>
            <a:gd name="T8" fmla="*/ 2147483647 w 259"/>
            <a:gd name="T9" fmla="*/ 2147483647 h 138"/>
            <a:gd name="T10" fmla="*/ 2147483647 w 259"/>
            <a:gd name="T11" fmla="*/ 2147483647 h 138"/>
            <a:gd name="T12" fmla="*/ 2147483647 w 259"/>
            <a:gd name="T13" fmla="*/ 2147483647 h 138"/>
            <a:gd name="T14" fmla="*/ 2147483647 w 259"/>
            <a:gd name="T15" fmla="*/ 2147483647 h 138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259"/>
            <a:gd name="T25" fmla="*/ 0 h 138"/>
            <a:gd name="T26" fmla="*/ 259 w 259"/>
            <a:gd name="T27" fmla="*/ 138 h 138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59" h="138">
              <a:moveTo>
                <a:pt x="147" y="66"/>
              </a:moveTo>
              <a:lnTo>
                <a:pt x="0" y="54"/>
              </a:lnTo>
              <a:lnTo>
                <a:pt x="0" y="0"/>
              </a:lnTo>
              <a:lnTo>
                <a:pt x="147" y="12"/>
              </a:lnTo>
              <a:lnTo>
                <a:pt x="259" y="12"/>
              </a:lnTo>
              <a:lnTo>
                <a:pt x="259" y="138"/>
              </a:lnTo>
              <a:lnTo>
                <a:pt x="147" y="138"/>
              </a:lnTo>
              <a:lnTo>
                <a:pt x="147" y="66"/>
              </a:lnTo>
              <a:close/>
            </a:path>
          </a:pathLst>
        </a:custGeom>
        <a:pattFill prst="pct20">
          <a:fgClr>
            <a:srgbClr val="000000">
              <a:alpha val="39999"/>
            </a:srgbClr>
          </a:fgClr>
          <a:bgClr>
            <a:srgbClr val="FFFFFF">
              <a:alpha val="39999"/>
            </a:srgbClr>
          </a:bgClr>
        </a:pattFill>
        <a:ln w="3175" cap="flat" cmpd="sng">
          <a:solidFill>
            <a:srgbClr val="000000"/>
          </a:solidFill>
          <a:prstDash val="solid"/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CF1E0000}"/>
            </a:ext>
          </a:extLst>
        </xdr:cNvPr>
        <xdr:cNvSpPr>
          <a:spLocks noChangeShapeType="1"/>
        </xdr:cNvSpPr>
      </xdr:nvSpPr>
      <xdr:spPr bwMode="auto">
        <a:xfrm>
          <a:off x="1000125" y="2400300"/>
          <a:ext cx="6000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D01E0000}"/>
            </a:ext>
          </a:extLst>
        </xdr:cNvPr>
        <xdr:cNvSpPr>
          <a:spLocks noChangeShapeType="1"/>
        </xdr:cNvSpPr>
      </xdr:nvSpPr>
      <xdr:spPr bwMode="auto">
        <a:xfrm flipV="1">
          <a:off x="1600200" y="2400300"/>
          <a:ext cx="6000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11</xdr:col>
      <xdr:colOff>0</xdr:colOff>
      <xdr:row>14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D21E0000}"/>
            </a:ext>
          </a:extLst>
        </xdr:cNvPr>
        <xdr:cNvSpPr>
          <a:spLocks noChangeShapeType="1"/>
        </xdr:cNvSpPr>
      </xdr:nvSpPr>
      <xdr:spPr bwMode="auto">
        <a:xfrm flipV="1">
          <a:off x="2200275" y="2400300"/>
          <a:ext cx="19335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11</xdr:col>
      <xdr:colOff>0</xdr:colOff>
      <xdr:row>12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D31E0000}"/>
            </a:ext>
          </a:extLst>
        </xdr:cNvPr>
        <xdr:cNvSpPr>
          <a:spLocks noChangeShapeType="1"/>
        </xdr:cNvSpPr>
      </xdr:nvSpPr>
      <xdr:spPr bwMode="auto">
        <a:xfrm>
          <a:off x="2200275" y="2057400"/>
          <a:ext cx="24669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D41E0000}"/>
            </a:ext>
          </a:extLst>
        </xdr:cNvPr>
        <xdr:cNvSpPr>
          <a:spLocks noChangeShapeType="1"/>
        </xdr:cNvSpPr>
      </xdr:nvSpPr>
      <xdr:spPr bwMode="auto">
        <a:xfrm flipV="1">
          <a:off x="1000125" y="1714500"/>
          <a:ext cx="366712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D51E0000}"/>
            </a:ext>
          </a:extLst>
        </xdr:cNvPr>
        <xdr:cNvSpPr>
          <a:spLocks noChangeShapeType="1"/>
        </xdr:cNvSpPr>
      </xdr:nvSpPr>
      <xdr:spPr bwMode="auto">
        <a:xfrm>
          <a:off x="1200150" y="4114800"/>
          <a:ext cx="4000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6</xdr:col>
      <xdr:colOff>0</xdr:colOff>
      <xdr:row>26</xdr:row>
      <xdr:rowOff>0</xdr:rowOff>
    </xdr:from>
    <xdr:to>
      <xdr:col>22</xdr:col>
      <xdr:colOff>0</xdr:colOff>
      <xdr:row>26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D61E0000}"/>
            </a:ext>
          </a:extLst>
        </xdr:cNvPr>
        <xdr:cNvSpPr>
          <a:spLocks noChangeShapeType="1"/>
        </xdr:cNvSpPr>
      </xdr:nvSpPr>
      <xdr:spPr bwMode="auto">
        <a:xfrm>
          <a:off x="1200150" y="4457700"/>
          <a:ext cx="2933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D71E0000}"/>
            </a:ext>
          </a:extLst>
        </xdr:cNvPr>
        <xdr:cNvSpPr>
          <a:spLocks noChangeShapeType="1"/>
        </xdr:cNvSpPr>
      </xdr:nvSpPr>
      <xdr:spPr bwMode="auto">
        <a:xfrm flipV="1">
          <a:off x="600075" y="2914650"/>
          <a:ext cx="0" cy="85725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26</xdr:col>
      <xdr:colOff>0</xdr:colOff>
      <xdr:row>12</xdr:row>
      <xdr:rowOff>0</xdr:rowOff>
    </xdr:from>
    <xdr:to>
      <xdr:col>32</xdr:col>
      <xdr:colOff>0</xdr:colOff>
      <xdr:row>12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D81E0000}"/>
            </a:ext>
          </a:extLst>
        </xdr:cNvPr>
        <xdr:cNvSpPr>
          <a:spLocks noChangeShapeType="1"/>
        </xdr:cNvSpPr>
      </xdr:nvSpPr>
      <xdr:spPr bwMode="auto">
        <a:xfrm flipV="1">
          <a:off x="4667250" y="2057400"/>
          <a:ext cx="1200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32</xdr:col>
      <xdr:colOff>0</xdr:colOff>
      <xdr:row>8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D91E0000}"/>
            </a:ext>
          </a:extLst>
        </xdr:cNvPr>
        <xdr:cNvSpPr>
          <a:spLocks noChangeShapeType="1"/>
        </xdr:cNvSpPr>
      </xdr:nvSpPr>
      <xdr:spPr bwMode="auto">
        <a:xfrm flipV="1">
          <a:off x="2200275" y="1371600"/>
          <a:ext cx="366712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11</xdr:col>
      <xdr:colOff>0</xdr:colOff>
      <xdr:row>48</xdr:row>
      <xdr:rowOff>57150</xdr:rowOff>
    </xdr:from>
    <xdr:to>
      <xdr:col>18</xdr:col>
      <xdr:colOff>0</xdr:colOff>
      <xdr:row>49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DA1E0000}"/>
            </a:ext>
          </a:extLst>
        </xdr:cNvPr>
        <xdr:cNvSpPr>
          <a:spLocks noChangeShapeType="1"/>
        </xdr:cNvSpPr>
      </xdr:nvSpPr>
      <xdr:spPr bwMode="auto">
        <a:xfrm>
          <a:off x="2200275" y="8115300"/>
          <a:ext cx="14001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48</xdr:row>
      <xdr:rowOff>0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000-0000DB1E0000}"/>
            </a:ext>
          </a:extLst>
        </xdr:cNvPr>
        <xdr:cNvSpPr>
          <a:spLocks noChangeShapeType="1"/>
        </xdr:cNvSpPr>
      </xdr:nvSpPr>
      <xdr:spPr bwMode="auto">
        <a:xfrm flipH="1" flipV="1">
          <a:off x="600075" y="6686550"/>
          <a:ext cx="0" cy="13716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000-0000DC1E0000}"/>
            </a:ext>
          </a:extLst>
        </xdr:cNvPr>
        <xdr:cNvSpPr>
          <a:spLocks noChangeShapeType="1"/>
        </xdr:cNvSpPr>
      </xdr:nvSpPr>
      <xdr:spPr bwMode="auto">
        <a:xfrm>
          <a:off x="1000125" y="6343650"/>
          <a:ext cx="6000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8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000-0000DD1E0000}"/>
            </a:ext>
          </a:extLst>
        </xdr:cNvPr>
        <xdr:cNvSpPr>
          <a:spLocks noChangeShapeType="1"/>
        </xdr:cNvSpPr>
      </xdr:nvSpPr>
      <xdr:spPr bwMode="auto">
        <a:xfrm>
          <a:off x="1600200" y="6343650"/>
          <a:ext cx="6000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18</xdr:col>
      <xdr:colOff>0</xdr:colOff>
      <xdr:row>37</xdr:row>
      <xdr:rowOff>0</xdr:rowOff>
    </xdr:to>
    <xdr:sp macro="" textlink="">
      <xdr:nvSpPr>
        <xdr:cNvPr id="18" name="Line 18">
          <a:extLst>
            <a:ext uri="{FF2B5EF4-FFF2-40B4-BE49-F238E27FC236}">
              <a16:creationId xmlns:a16="http://schemas.microsoft.com/office/drawing/2014/main" id="{00000000-0008-0000-0000-0000DE1E0000}"/>
            </a:ext>
          </a:extLst>
        </xdr:cNvPr>
        <xdr:cNvSpPr>
          <a:spLocks noChangeShapeType="1"/>
        </xdr:cNvSpPr>
      </xdr:nvSpPr>
      <xdr:spPr bwMode="auto">
        <a:xfrm>
          <a:off x="2200275" y="6343650"/>
          <a:ext cx="1400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18</xdr:col>
      <xdr:colOff>9525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00000000-0008-0000-0000-0000DF1E0000}"/>
            </a:ext>
          </a:extLst>
        </xdr:cNvPr>
        <xdr:cNvSpPr>
          <a:spLocks noChangeShapeType="1"/>
        </xdr:cNvSpPr>
      </xdr:nvSpPr>
      <xdr:spPr bwMode="auto">
        <a:xfrm>
          <a:off x="3609975" y="6343650"/>
          <a:ext cx="10572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4</xdr:col>
      <xdr:colOff>34848</xdr:colOff>
      <xdr:row>38</xdr:row>
      <xdr:rowOff>162621</xdr:rowOff>
    </xdr:from>
    <xdr:to>
      <xdr:col>4</xdr:col>
      <xdr:colOff>34848</xdr:colOff>
      <xdr:row>46</xdr:row>
      <xdr:rowOff>162622</xdr:rowOff>
    </xdr:to>
    <xdr:sp macro="" textlink="">
      <xdr:nvSpPr>
        <xdr:cNvPr id="20" name="Line 20">
          <a:extLst>
            <a:ext uri="{FF2B5EF4-FFF2-40B4-BE49-F238E27FC236}">
              <a16:creationId xmlns:a16="http://schemas.microsoft.com/office/drawing/2014/main" id="{00000000-0008-0000-0000-0000E01E0000}"/>
            </a:ext>
          </a:extLst>
        </xdr:cNvPr>
        <xdr:cNvSpPr>
          <a:spLocks noChangeShapeType="1"/>
        </xdr:cNvSpPr>
      </xdr:nvSpPr>
      <xdr:spPr bwMode="auto">
        <a:xfrm flipH="1" flipV="1">
          <a:off x="834948" y="6677721"/>
          <a:ext cx="0" cy="1200151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6</xdr:col>
      <xdr:colOff>0</xdr:colOff>
      <xdr:row>45</xdr:row>
      <xdr:rowOff>152400</xdr:rowOff>
    </xdr:from>
    <xdr:to>
      <xdr:col>22</xdr:col>
      <xdr:colOff>9525</xdr:colOff>
      <xdr:row>51</xdr:row>
      <xdr:rowOff>0</xdr:rowOff>
    </xdr:to>
    <xdr:sp macro="" textlink="">
      <xdr:nvSpPr>
        <xdr:cNvPr id="21" name="Freeform 25">
          <a:extLst>
            <a:ext uri="{FF2B5EF4-FFF2-40B4-BE49-F238E27FC236}">
              <a16:creationId xmlns:a16="http://schemas.microsoft.com/office/drawing/2014/main" id="{00000000-0008-0000-0000-0000E11E0000}"/>
            </a:ext>
          </a:extLst>
        </xdr:cNvPr>
        <xdr:cNvSpPr>
          <a:spLocks/>
        </xdr:cNvSpPr>
      </xdr:nvSpPr>
      <xdr:spPr bwMode="auto">
        <a:xfrm>
          <a:off x="1200150" y="7696200"/>
          <a:ext cx="2943225" cy="876300"/>
        </a:xfrm>
        <a:custGeom>
          <a:avLst/>
          <a:gdLst>
            <a:gd name="T0" fmla="*/ 2147483647 w 309"/>
            <a:gd name="T1" fmla="*/ 2147483647 h 92"/>
            <a:gd name="T2" fmla="*/ 2147483647 w 309"/>
            <a:gd name="T3" fmla="*/ 2147483647 h 92"/>
            <a:gd name="T4" fmla="*/ 0 w 309"/>
            <a:gd name="T5" fmla="*/ 2147483647 h 92"/>
            <a:gd name="T6" fmla="*/ 0 w 309"/>
            <a:gd name="T7" fmla="*/ 0 h 92"/>
            <a:gd name="T8" fmla="*/ 2147483647 w 309"/>
            <a:gd name="T9" fmla="*/ 2147483647 h 92"/>
            <a:gd name="T10" fmla="*/ 2147483647 w 309"/>
            <a:gd name="T11" fmla="*/ 2147483647 h 92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309"/>
            <a:gd name="T19" fmla="*/ 0 h 92"/>
            <a:gd name="T20" fmla="*/ 309 w 309"/>
            <a:gd name="T21" fmla="*/ 92 h 92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309" h="92">
              <a:moveTo>
                <a:pt x="295" y="92"/>
              </a:moveTo>
              <a:lnTo>
                <a:pt x="252" y="38"/>
              </a:lnTo>
              <a:lnTo>
                <a:pt x="0" y="17"/>
              </a:lnTo>
              <a:lnTo>
                <a:pt x="0" y="0"/>
              </a:lnTo>
              <a:lnTo>
                <a:pt x="261" y="22"/>
              </a:lnTo>
              <a:lnTo>
                <a:pt x="309" y="80"/>
              </a:lnTo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35</xdr:row>
      <xdr:rowOff>0</xdr:rowOff>
    </xdr:from>
    <xdr:to>
      <xdr:col>26</xdr:col>
      <xdr:colOff>0</xdr:colOff>
      <xdr:row>35</xdr:row>
      <xdr:rowOff>0</xdr:rowOff>
    </xdr:to>
    <xdr:sp macro="" textlink="">
      <xdr:nvSpPr>
        <xdr:cNvPr id="22" name="Line 26">
          <a:extLst>
            <a:ext uri="{FF2B5EF4-FFF2-40B4-BE49-F238E27FC236}">
              <a16:creationId xmlns:a16="http://schemas.microsoft.com/office/drawing/2014/main" id="{00000000-0008-0000-0000-0000E21E0000}"/>
            </a:ext>
          </a:extLst>
        </xdr:cNvPr>
        <xdr:cNvSpPr>
          <a:spLocks noChangeShapeType="1"/>
        </xdr:cNvSpPr>
      </xdr:nvSpPr>
      <xdr:spPr bwMode="auto">
        <a:xfrm>
          <a:off x="2200275" y="6000750"/>
          <a:ext cx="24669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23" name="Line 27">
          <a:extLst>
            <a:ext uri="{FF2B5EF4-FFF2-40B4-BE49-F238E27FC236}">
              <a16:creationId xmlns:a16="http://schemas.microsoft.com/office/drawing/2014/main" id="{00000000-0008-0000-0000-0000E31E0000}"/>
            </a:ext>
          </a:extLst>
        </xdr:cNvPr>
        <xdr:cNvSpPr>
          <a:spLocks noChangeShapeType="1"/>
        </xdr:cNvSpPr>
      </xdr:nvSpPr>
      <xdr:spPr bwMode="auto">
        <a:xfrm flipH="1">
          <a:off x="800100" y="8058150"/>
          <a:ext cx="0" cy="3429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none" w="lg" len="lg"/>
        </a:ln>
      </xdr:spPr>
    </xdr:sp>
    <xdr:clientData/>
  </xdr:twoCellAnchor>
  <xdr:twoCellAnchor>
    <xdr:from>
      <xdr:col>13</xdr:col>
      <xdr:colOff>0</xdr:colOff>
      <xdr:row>39</xdr:row>
      <xdr:rowOff>0</xdr:rowOff>
    </xdr:from>
    <xdr:to>
      <xdr:col>13</xdr:col>
      <xdr:colOff>0</xdr:colOff>
      <xdr:row>48</xdr:row>
      <xdr:rowOff>57150</xdr:rowOff>
    </xdr:to>
    <xdr:sp macro="" textlink="">
      <xdr:nvSpPr>
        <xdr:cNvPr id="24" name="Line 28">
          <a:extLst>
            <a:ext uri="{FF2B5EF4-FFF2-40B4-BE49-F238E27FC236}">
              <a16:creationId xmlns:a16="http://schemas.microsoft.com/office/drawing/2014/main" id="{00000000-0008-0000-0000-0000E41E0000}"/>
            </a:ext>
          </a:extLst>
        </xdr:cNvPr>
        <xdr:cNvSpPr>
          <a:spLocks noChangeShapeType="1"/>
        </xdr:cNvSpPr>
      </xdr:nvSpPr>
      <xdr:spPr bwMode="auto">
        <a:xfrm flipH="1" flipV="1">
          <a:off x="2600325" y="6686550"/>
          <a:ext cx="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0</xdr:colOff>
      <xdr:row>49</xdr:row>
      <xdr:rowOff>0</xdr:rowOff>
    </xdr:to>
    <xdr:sp macro="" textlink="">
      <xdr:nvSpPr>
        <xdr:cNvPr id="25" name="Line 29">
          <a:extLst>
            <a:ext uri="{FF2B5EF4-FFF2-40B4-BE49-F238E27FC236}">
              <a16:creationId xmlns:a16="http://schemas.microsoft.com/office/drawing/2014/main" id="{00000000-0008-0000-0000-0000E51E0000}"/>
            </a:ext>
          </a:extLst>
        </xdr:cNvPr>
        <xdr:cNvSpPr>
          <a:spLocks noChangeShapeType="1"/>
        </xdr:cNvSpPr>
      </xdr:nvSpPr>
      <xdr:spPr bwMode="auto">
        <a:xfrm flipV="1">
          <a:off x="3600450" y="6686550"/>
          <a:ext cx="0" cy="154305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  <xdr:txBody>
        <a:bodyPr/>
        <a:lstStyle/>
        <a:p>
          <a:r>
            <a:rPr lang="en-US" altLang="ja-JP"/>
            <a:t>1.10</a:t>
          </a:r>
          <a:endParaRPr lang="ja-JP" altLang="en-US"/>
        </a:p>
      </xdr:txBody>
    </xdr:sp>
    <xdr:clientData/>
  </xdr:twoCellAnchor>
  <xdr:twoCellAnchor>
    <xdr:from>
      <xdr:col>11</xdr:col>
      <xdr:colOff>133350</xdr:colOff>
      <xdr:row>48</xdr:row>
      <xdr:rowOff>57150</xdr:rowOff>
    </xdr:from>
    <xdr:to>
      <xdr:col>13</xdr:col>
      <xdr:colOff>76200</xdr:colOff>
      <xdr:row>48</xdr:row>
      <xdr:rowOff>57150</xdr:rowOff>
    </xdr:to>
    <xdr:sp macro="" textlink="">
      <xdr:nvSpPr>
        <xdr:cNvPr id="26" name="Line 31">
          <a:extLst>
            <a:ext uri="{FF2B5EF4-FFF2-40B4-BE49-F238E27FC236}">
              <a16:creationId xmlns:a16="http://schemas.microsoft.com/office/drawing/2014/main" id="{00000000-0008-0000-0000-0000E61E0000}"/>
            </a:ext>
          </a:extLst>
        </xdr:cNvPr>
        <xdr:cNvSpPr>
          <a:spLocks noChangeShapeType="1"/>
        </xdr:cNvSpPr>
      </xdr:nvSpPr>
      <xdr:spPr bwMode="auto">
        <a:xfrm>
          <a:off x="2333625" y="8115300"/>
          <a:ext cx="3429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7" name="Line 32">
          <a:extLst>
            <a:ext uri="{FF2B5EF4-FFF2-40B4-BE49-F238E27FC236}">
              <a16:creationId xmlns:a16="http://schemas.microsoft.com/office/drawing/2014/main" id="{00000000-0008-0000-0000-0000E71E0000}"/>
            </a:ext>
          </a:extLst>
        </xdr:cNvPr>
        <xdr:cNvSpPr>
          <a:spLocks noChangeShapeType="1"/>
        </xdr:cNvSpPr>
      </xdr:nvSpPr>
      <xdr:spPr bwMode="auto">
        <a:xfrm>
          <a:off x="1200150" y="9258300"/>
          <a:ext cx="2933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6</xdr:col>
      <xdr:colOff>0</xdr:colOff>
      <xdr:row>50</xdr:row>
      <xdr:rowOff>0</xdr:rowOff>
    </xdr:from>
    <xdr:to>
      <xdr:col>8</xdr:col>
      <xdr:colOff>0</xdr:colOff>
      <xdr:row>50</xdr:row>
      <xdr:rowOff>0</xdr:rowOff>
    </xdr:to>
    <xdr:sp macro="" textlink="">
      <xdr:nvSpPr>
        <xdr:cNvPr id="28" name="Line 33">
          <a:extLst>
            <a:ext uri="{FF2B5EF4-FFF2-40B4-BE49-F238E27FC236}">
              <a16:creationId xmlns:a16="http://schemas.microsoft.com/office/drawing/2014/main" id="{00000000-0008-0000-0000-0000E81E0000}"/>
            </a:ext>
          </a:extLst>
        </xdr:cNvPr>
        <xdr:cNvSpPr>
          <a:spLocks noChangeShapeType="1"/>
        </xdr:cNvSpPr>
      </xdr:nvSpPr>
      <xdr:spPr bwMode="auto">
        <a:xfrm>
          <a:off x="1200150" y="8401050"/>
          <a:ext cx="4000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16</xdr:col>
      <xdr:colOff>0</xdr:colOff>
      <xdr:row>49</xdr:row>
      <xdr:rowOff>0</xdr:rowOff>
    </xdr:from>
    <xdr:to>
      <xdr:col>16</xdr:col>
      <xdr:colOff>0</xdr:colOff>
      <xdr:row>53</xdr:row>
      <xdr:rowOff>0</xdr:rowOff>
    </xdr:to>
    <xdr:sp macro="" textlink="">
      <xdr:nvSpPr>
        <xdr:cNvPr id="29" name="Line 34">
          <a:extLst>
            <a:ext uri="{FF2B5EF4-FFF2-40B4-BE49-F238E27FC236}">
              <a16:creationId xmlns:a16="http://schemas.microsoft.com/office/drawing/2014/main" id="{00000000-0008-0000-0000-0000E91E0000}"/>
            </a:ext>
          </a:extLst>
        </xdr:cNvPr>
        <xdr:cNvSpPr>
          <a:spLocks noChangeShapeType="1"/>
        </xdr:cNvSpPr>
      </xdr:nvSpPr>
      <xdr:spPr bwMode="auto">
        <a:xfrm flipH="1" flipV="1">
          <a:off x="3200400" y="8229600"/>
          <a:ext cx="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24</xdr:col>
      <xdr:colOff>0</xdr:colOff>
      <xdr:row>18</xdr:row>
      <xdr:rowOff>0</xdr:rowOff>
    </xdr:from>
    <xdr:to>
      <xdr:col>30</xdr:col>
      <xdr:colOff>190500</xdr:colOff>
      <xdr:row>19</xdr:row>
      <xdr:rowOff>9525</xdr:rowOff>
    </xdr:to>
    <xdr:sp macro="" textlink="">
      <xdr:nvSpPr>
        <xdr:cNvPr id="30" name="Freeform 36">
          <a:extLst>
            <a:ext uri="{FF2B5EF4-FFF2-40B4-BE49-F238E27FC236}">
              <a16:creationId xmlns:a16="http://schemas.microsoft.com/office/drawing/2014/main" id="{00000000-0008-0000-0000-0000EA1E0000}"/>
            </a:ext>
          </a:extLst>
        </xdr:cNvPr>
        <xdr:cNvSpPr>
          <a:spLocks/>
        </xdr:cNvSpPr>
      </xdr:nvSpPr>
      <xdr:spPr bwMode="auto">
        <a:xfrm>
          <a:off x="4267200" y="3086100"/>
          <a:ext cx="1390650" cy="180975"/>
        </a:xfrm>
        <a:custGeom>
          <a:avLst/>
          <a:gdLst>
            <a:gd name="T0" fmla="*/ 2147483647 w 146"/>
            <a:gd name="T1" fmla="*/ 0 h 19"/>
            <a:gd name="T2" fmla="*/ 2147483647 w 146"/>
            <a:gd name="T3" fmla="*/ 0 h 19"/>
            <a:gd name="T4" fmla="*/ 0 w 146"/>
            <a:gd name="T5" fmla="*/ 2147483647 h 19"/>
            <a:gd name="T6" fmla="*/ 0 60000 65536"/>
            <a:gd name="T7" fmla="*/ 0 60000 65536"/>
            <a:gd name="T8" fmla="*/ 0 60000 65536"/>
            <a:gd name="T9" fmla="*/ 0 w 146"/>
            <a:gd name="T10" fmla="*/ 0 h 19"/>
            <a:gd name="T11" fmla="*/ 146 w 146"/>
            <a:gd name="T12" fmla="*/ 19 h 1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46" h="19">
              <a:moveTo>
                <a:pt x="146" y="0"/>
              </a:moveTo>
              <a:lnTo>
                <a:pt x="63" y="0"/>
              </a:lnTo>
              <a:lnTo>
                <a:pt x="0" y="19"/>
              </a:lnTo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arrow" w="sm" len="med"/>
        </a:ln>
      </xdr:spPr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0</xdr:colOff>
      <xdr:row>50</xdr:row>
      <xdr:rowOff>0</xdr:rowOff>
    </xdr:to>
    <xdr:sp macro="" textlink="">
      <xdr:nvSpPr>
        <xdr:cNvPr id="31" name="Line 38">
          <a:extLst>
            <a:ext uri="{FF2B5EF4-FFF2-40B4-BE49-F238E27FC236}">
              <a16:creationId xmlns:a16="http://schemas.microsoft.com/office/drawing/2014/main" id="{00000000-0008-0000-0000-0000EB1E000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686550"/>
          <a:ext cx="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30</xdr:col>
      <xdr:colOff>0</xdr:colOff>
      <xdr:row>39</xdr:row>
      <xdr:rowOff>0</xdr:rowOff>
    </xdr:from>
    <xdr:to>
      <xdr:col>30</xdr:col>
      <xdr:colOff>0</xdr:colOff>
      <xdr:row>53</xdr:row>
      <xdr:rowOff>0</xdr:rowOff>
    </xdr:to>
    <xdr:sp macro="" textlink="">
      <xdr:nvSpPr>
        <xdr:cNvPr id="32" name="Line 39">
          <a:extLst>
            <a:ext uri="{FF2B5EF4-FFF2-40B4-BE49-F238E27FC236}">
              <a16:creationId xmlns:a16="http://schemas.microsoft.com/office/drawing/2014/main" id="{00000000-0008-0000-0000-0000EC1E0000}"/>
            </a:ext>
          </a:extLst>
        </xdr:cNvPr>
        <xdr:cNvSpPr>
          <a:spLocks noChangeShapeType="1"/>
        </xdr:cNvSpPr>
      </xdr:nvSpPr>
      <xdr:spPr bwMode="auto">
        <a:xfrm flipH="1" flipV="1">
          <a:off x="5467350" y="6686550"/>
          <a:ext cx="0" cy="222885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0</xdr:colOff>
      <xdr:row>52</xdr:row>
      <xdr:rowOff>0</xdr:rowOff>
    </xdr:to>
    <xdr:sp macro="" textlink="">
      <xdr:nvSpPr>
        <xdr:cNvPr id="33" name="Line 40">
          <a:extLst>
            <a:ext uri="{FF2B5EF4-FFF2-40B4-BE49-F238E27FC236}">
              <a16:creationId xmlns:a16="http://schemas.microsoft.com/office/drawing/2014/main" id="{00000000-0008-0000-0000-0000ED1E0000}"/>
            </a:ext>
          </a:extLst>
        </xdr:cNvPr>
        <xdr:cNvSpPr>
          <a:spLocks noChangeShapeType="1"/>
        </xdr:cNvSpPr>
      </xdr:nvSpPr>
      <xdr:spPr bwMode="auto">
        <a:xfrm flipV="1">
          <a:off x="5067300" y="8401050"/>
          <a:ext cx="0" cy="3429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0</xdr:colOff>
      <xdr:row>55</xdr:row>
      <xdr:rowOff>0</xdr:rowOff>
    </xdr:to>
    <xdr:sp macro="" textlink="">
      <xdr:nvSpPr>
        <xdr:cNvPr id="34" name="Line 42">
          <a:extLst>
            <a:ext uri="{FF2B5EF4-FFF2-40B4-BE49-F238E27FC236}">
              <a16:creationId xmlns:a16="http://schemas.microsoft.com/office/drawing/2014/main" id="{00000000-0008-0000-0000-0000EE1E0000}"/>
            </a:ext>
          </a:extLst>
        </xdr:cNvPr>
        <xdr:cNvSpPr>
          <a:spLocks noChangeShapeType="1"/>
        </xdr:cNvSpPr>
      </xdr:nvSpPr>
      <xdr:spPr bwMode="auto">
        <a:xfrm flipH="1">
          <a:off x="5067300" y="8915400"/>
          <a:ext cx="0" cy="3429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none" w="lg" len="lg"/>
        </a:ln>
      </xdr:spPr>
    </xdr:sp>
    <xdr:clientData/>
  </xdr:twoCellAnchor>
  <xdr:twoCellAnchor editAs="absolute">
    <xdr:from>
      <xdr:col>34</xdr:col>
      <xdr:colOff>28575</xdr:colOff>
      <xdr:row>4</xdr:row>
      <xdr:rowOff>19050</xdr:rowOff>
    </xdr:from>
    <xdr:to>
      <xdr:col>37</xdr:col>
      <xdr:colOff>161925</xdr:colOff>
      <xdr:row>8</xdr:row>
      <xdr:rowOff>47625</xdr:rowOff>
    </xdr:to>
    <xdr:grpSp>
      <xdr:nvGrpSpPr>
        <xdr:cNvPr id="35" name="Group 51">
          <a:extLst>
            <a:ext uri="{FF2B5EF4-FFF2-40B4-BE49-F238E27FC236}">
              <a16:creationId xmlns:a16="http://schemas.microsoft.com/office/drawing/2014/main" id="{00000000-0008-0000-0000-0000EF1E0000}"/>
            </a:ext>
          </a:extLst>
        </xdr:cNvPr>
        <xdr:cNvGrpSpPr>
          <a:grpSpLocks/>
        </xdr:cNvGrpSpPr>
      </xdr:nvGrpSpPr>
      <xdr:grpSpPr bwMode="auto">
        <a:xfrm>
          <a:off x="6348693" y="691403"/>
          <a:ext cx="738467" cy="700928"/>
          <a:chOff x="5" y="95"/>
          <a:chExt cx="76" cy="76"/>
        </a:xfrm>
      </xdr:grpSpPr>
      <xdr:sp macro="" textlink="">
        <xdr:nvSpPr>
          <xdr:cNvPr id="36" name="Oval 45">
            <a:extLst>
              <a:ext uri="{FF2B5EF4-FFF2-40B4-BE49-F238E27FC236}">
                <a16:creationId xmlns:a16="http://schemas.microsoft.com/office/drawing/2014/main" id="{00000000-0008-0000-0000-0000FD1E0000}"/>
              </a:ext>
            </a:extLst>
          </xdr:cNvPr>
          <xdr:cNvSpPr>
            <a:spLocks noChangeArrowheads="1"/>
          </xdr:cNvSpPr>
        </xdr:nvSpPr>
        <xdr:spPr bwMode="auto">
          <a:xfrm>
            <a:off x="24" y="114"/>
            <a:ext cx="38" cy="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Oval 46">
            <a:extLst>
              <a:ext uri="{FF2B5EF4-FFF2-40B4-BE49-F238E27FC236}">
                <a16:creationId xmlns:a16="http://schemas.microsoft.com/office/drawing/2014/main" id="{00000000-0008-0000-0000-0000FE1E0000}"/>
              </a:ext>
            </a:extLst>
          </xdr:cNvPr>
          <xdr:cNvSpPr>
            <a:spLocks noChangeArrowheads="1"/>
          </xdr:cNvSpPr>
        </xdr:nvSpPr>
        <xdr:spPr bwMode="auto">
          <a:xfrm>
            <a:off x="28" y="118"/>
            <a:ext cx="30" cy="30"/>
          </a:xfrm>
          <a:prstGeom prst="ellips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Line 49">
            <a:extLst>
              <a:ext uri="{FF2B5EF4-FFF2-40B4-BE49-F238E27FC236}">
                <a16:creationId xmlns:a16="http://schemas.microsoft.com/office/drawing/2014/main" id="{00000000-0008-0000-0000-0000FF1E0000}"/>
              </a:ext>
            </a:extLst>
          </xdr:cNvPr>
          <xdr:cNvSpPr>
            <a:spLocks noChangeShapeType="1"/>
          </xdr:cNvSpPr>
        </xdr:nvSpPr>
        <xdr:spPr bwMode="auto">
          <a:xfrm>
            <a:off x="43" y="95"/>
            <a:ext cx="0" cy="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50">
            <a:extLst>
              <a:ext uri="{FF2B5EF4-FFF2-40B4-BE49-F238E27FC236}">
                <a16:creationId xmlns:a16="http://schemas.microsoft.com/office/drawing/2014/main" id="{00000000-0008-0000-0000-0000001F0000}"/>
              </a:ext>
            </a:extLst>
          </xdr:cNvPr>
          <xdr:cNvSpPr>
            <a:spLocks noChangeShapeType="1"/>
          </xdr:cNvSpPr>
        </xdr:nvSpPr>
        <xdr:spPr bwMode="auto">
          <a:xfrm>
            <a:off x="5" y="133"/>
            <a:ext cx="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 fLocksWithSheet="0"/>
  </xdr:twoCellAnchor>
  <xdr:twoCellAnchor>
    <xdr:from>
      <xdr:col>9</xdr:col>
      <xdr:colOff>0</xdr:colOff>
      <xdr:row>39</xdr:row>
      <xdr:rowOff>0</xdr:rowOff>
    </xdr:from>
    <xdr:to>
      <xdr:col>9</xdr:col>
      <xdr:colOff>0</xdr:colOff>
      <xdr:row>44</xdr:row>
      <xdr:rowOff>0</xdr:rowOff>
    </xdr:to>
    <xdr:sp macro="" textlink="">
      <xdr:nvSpPr>
        <xdr:cNvPr id="40" name="Line 52">
          <a:extLst>
            <a:ext uri="{FF2B5EF4-FFF2-40B4-BE49-F238E27FC236}">
              <a16:creationId xmlns:a16="http://schemas.microsoft.com/office/drawing/2014/main" id="{00000000-0008-0000-0000-0000F01E0000}"/>
            </a:ext>
          </a:extLst>
        </xdr:cNvPr>
        <xdr:cNvSpPr>
          <a:spLocks noChangeShapeType="1"/>
        </xdr:cNvSpPr>
      </xdr:nvSpPr>
      <xdr:spPr bwMode="auto">
        <a:xfrm flipH="1" flipV="1">
          <a:off x="1800225" y="6686550"/>
          <a:ext cx="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7</xdr:col>
      <xdr:colOff>76200</xdr:colOff>
      <xdr:row>18</xdr:row>
      <xdr:rowOff>104775</xdr:rowOff>
    </xdr:from>
    <xdr:to>
      <xdr:col>11</xdr:col>
      <xdr:colOff>104775</xdr:colOff>
      <xdr:row>20</xdr:row>
      <xdr:rowOff>66675</xdr:rowOff>
    </xdr:to>
    <xdr:sp macro="" textlink="">
      <xdr:nvSpPr>
        <xdr:cNvPr id="41" name="Rectangle 53">
          <a:extLst>
            <a:ext uri="{FF2B5EF4-FFF2-40B4-BE49-F238E27FC236}">
              <a16:creationId xmlns:a16="http://schemas.microsoft.com/office/drawing/2014/main" id="{00000000-0008-0000-0000-0000F11E0000}"/>
            </a:ext>
          </a:extLst>
        </xdr:cNvPr>
        <xdr:cNvSpPr>
          <a:spLocks noChangeArrowheads="1"/>
        </xdr:cNvSpPr>
      </xdr:nvSpPr>
      <xdr:spPr bwMode="auto">
        <a:xfrm>
          <a:off x="1476375" y="3190875"/>
          <a:ext cx="828675" cy="3048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45</xdr:row>
      <xdr:rowOff>133350</xdr:rowOff>
    </xdr:from>
    <xdr:to>
      <xdr:col>11</xdr:col>
      <xdr:colOff>76200</xdr:colOff>
      <xdr:row>47</xdr:row>
      <xdr:rowOff>104775</xdr:rowOff>
    </xdr:to>
    <xdr:sp macro="" textlink="">
      <xdr:nvSpPr>
        <xdr:cNvPr id="42" name="Freeform 54">
          <a:extLst>
            <a:ext uri="{FF2B5EF4-FFF2-40B4-BE49-F238E27FC236}">
              <a16:creationId xmlns:a16="http://schemas.microsoft.com/office/drawing/2014/main" id="{00000000-0008-0000-0000-0000F21E0000}"/>
            </a:ext>
          </a:extLst>
        </xdr:cNvPr>
        <xdr:cNvSpPr>
          <a:spLocks/>
        </xdr:cNvSpPr>
      </xdr:nvSpPr>
      <xdr:spPr bwMode="auto">
        <a:xfrm>
          <a:off x="1524000" y="7677150"/>
          <a:ext cx="752475" cy="314325"/>
        </a:xfrm>
        <a:custGeom>
          <a:avLst/>
          <a:gdLst>
            <a:gd name="T0" fmla="*/ 0 w 79"/>
            <a:gd name="T1" fmla="*/ 0 h 33"/>
            <a:gd name="T2" fmla="*/ 0 w 79"/>
            <a:gd name="T3" fmla="*/ 2147483647 h 33"/>
            <a:gd name="T4" fmla="*/ 2147483647 w 79"/>
            <a:gd name="T5" fmla="*/ 2147483647 h 33"/>
            <a:gd name="T6" fmla="*/ 2147483647 w 79"/>
            <a:gd name="T7" fmla="*/ 2147483647 h 33"/>
            <a:gd name="T8" fmla="*/ 0 w 79"/>
            <a:gd name="T9" fmla="*/ 0 h 3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79"/>
            <a:gd name="T16" fmla="*/ 0 h 33"/>
            <a:gd name="T17" fmla="*/ 79 w 79"/>
            <a:gd name="T18" fmla="*/ 33 h 3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79" h="33">
              <a:moveTo>
                <a:pt x="0" y="0"/>
              </a:moveTo>
              <a:lnTo>
                <a:pt x="0" y="26"/>
              </a:lnTo>
              <a:lnTo>
                <a:pt x="79" y="33"/>
              </a:lnTo>
              <a:lnTo>
                <a:pt x="79" y="7"/>
              </a:lnTo>
              <a:lnTo>
                <a:pt x="0" y="0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171450</xdr:colOff>
      <xdr:row>47</xdr:row>
      <xdr:rowOff>85725</xdr:rowOff>
    </xdr:from>
    <xdr:to>
      <xdr:col>13</xdr:col>
      <xdr:colOff>28575</xdr:colOff>
      <xdr:row>50</xdr:row>
      <xdr:rowOff>0</xdr:rowOff>
    </xdr:to>
    <xdr:sp macro="" textlink="">
      <xdr:nvSpPr>
        <xdr:cNvPr id="43" name="Freeform 55">
          <a:extLst>
            <a:ext uri="{FF2B5EF4-FFF2-40B4-BE49-F238E27FC236}">
              <a16:creationId xmlns:a16="http://schemas.microsoft.com/office/drawing/2014/main" id="{00000000-0008-0000-0000-0000F31E0000}"/>
            </a:ext>
          </a:extLst>
        </xdr:cNvPr>
        <xdr:cNvSpPr>
          <a:spLocks/>
        </xdr:cNvSpPr>
      </xdr:nvSpPr>
      <xdr:spPr bwMode="auto">
        <a:xfrm>
          <a:off x="1771650" y="7972425"/>
          <a:ext cx="857250" cy="428625"/>
        </a:xfrm>
        <a:custGeom>
          <a:avLst/>
          <a:gdLst>
            <a:gd name="T0" fmla="*/ 0 w 90"/>
            <a:gd name="T1" fmla="*/ 0 h 45"/>
            <a:gd name="T2" fmla="*/ 2147483647 w 90"/>
            <a:gd name="T3" fmla="*/ 2147483647 h 45"/>
            <a:gd name="T4" fmla="*/ 2147483647 w 90"/>
            <a:gd name="T5" fmla="*/ 2147483647 h 45"/>
            <a:gd name="T6" fmla="*/ 0 60000 65536"/>
            <a:gd name="T7" fmla="*/ 0 60000 65536"/>
            <a:gd name="T8" fmla="*/ 0 60000 65536"/>
            <a:gd name="T9" fmla="*/ 0 w 90"/>
            <a:gd name="T10" fmla="*/ 0 h 45"/>
            <a:gd name="T11" fmla="*/ 90 w 90"/>
            <a:gd name="T12" fmla="*/ 45 h 4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90" h="45">
              <a:moveTo>
                <a:pt x="0" y="0"/>
              </a:moveTo>
              <a:lnTo>
                <a:pt x="24" y="45"/>
              </a:lnTo>
              <a:lnTo>
                <a:pt x="90" y="45"/>
              </a:lnTo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 type="arrow" w="sm" len="med"/>
          <a:tailEnd type="none" w="med" len="med"/>
        </a:ln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48</xdr:row>
      <xdr:rowOff>57150</xdr:rowOff>
    </xdr:to>
    <xdr:sp macro="" textlink="">
      <xdr:nvSpPr>
        <xdr:cNvPr id="44" name="Line 58">
          <a:extLst>
            <a:ext uri="{FF2B5EF4-FFF2-40B4-BE49-F238E27FC236}">
              <a16:creationId xmlns:a16="http://schemas.microsoft.com/office/drawing/2014/main" id="{00000000-0008-0000-0000-0000F41E0000}"/>
            </a:ext>
          </a:extLst>
        </xdr:cNvPr>
        <xdr:cNvSpPr>
          <a:spLocks noChangeShapeType="1"/>
        </xdr:cNvSpPr>
      </xdr:nvSpPr>
      <xdr:spPr bwMode="auto">
        <a:xfrm>
          <a:off x="2200275" y="7372350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48</xdr:row>
      <xdr:rowOff>0</xdr:rowOff>
    </xdr:from>
    <xdr:to>
      <xdr:col>11</xdr:col>
      <xdr:colOff>0</xdr:colOff>
      <xdr:row>48</xdr:row>
      <xdr:rowOff>57150</xdr:rowOff>
    </xdr:to>
    <xdr:sp macro="" textlink="">
      <xdr:nvSpPr>
        <xdr:cNvPr id="45" name="Line 60">
          <a:extLst>
            <a:ext uri="{FF2B5EF4-FFF2-40B4-BE49-F238E27FC236}">
              <a16:creationId xmlns:a16="http://schemas.microsoft.com/office/drawing/2014/main" id="{00000000-0008-0000-0000-0000F51E0000}"/>
            </a:ext>
          </a:extLst>
        </xdr:cNvPr>
        <xdr:cNvSpPr>
          <a:spLocks noChangeShapeType="1"/>
        </xdr:cNvSpPr>
      </xdr:nvSpPr>
      <xdr:spPr bwMode="auto">
        <a:xfrm>
          <a:off x="1600200" y="8058150"/>
          <a:ext cx="600075" cy="571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46</xdr:row>
      <xdr:rowOff>47625</xdr:rowOff>
    </xdr:from>
    <xdr:to>
      <xdr:col>19</xdr:col>
      <xdr:colOff>47625</xdr:colOff>
      <xdr:row>46</xdr:row>
      <xdr:rowOff>161925</xdr:rowOff>
    </xdr:to>
    <xdr:sp macro="" textlink="">
      <xdr:nvSpPr>
        <xdr:cNvPr id="46" name="Line 62">
          <a:extLst>
            <a:ext uri="{FF2B5EF4-FFF2-40B4-BE49-F238E27FC236}">
              <a16:creationId xmlns:a16="http://schemas.microsoft.com/office/drawing/2014/main" id="{00000000-0008-0000-0000-0000F61E0000}"/>
            </a:ext>
          </a:extLst>
        </xdr:cNvPr>
        <xdr:cNvSpPr>
          <a:spLocks noChangeShapeType="1"/>
        </xdr:cNvSpPr>
      </xdr:nvSpPr>
      <xdr:spPr bwMode="auto">
        <a:xfrm flipV="1">
          <a:off x="3724275" y="7762875"/>
          <a:ext cx="123825" cy="114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49</xdr:row>
      <xdr:rowOff>142875</xdr:rowOff>
    </xdr:from>
    <xdr:to>
      <xdr:col>24</xdr:col>
      <xdr:colOff>85725</xdr:colOff>
      <xdr:row>50</xdr:row>
      <xdr:rowOff>66675</xdr:rowOff>
    </xdr:to>
    <xdr:sp macro="" textlink="">
      <xdr:nvSpPr>
        <xdr:cNvPr id="47" name="Line 63">
          <a:extLst>
            <a:ext uri="{FF2B5EF4-FFF2-40B4-BE49-F238E27FC236}">
              <a16:creationId xmlns:a16="http://schemas.microsoft.com/office/drawing/2014/main" id="{00000000-0008-0000-0000-0000F71E0000}"/>
            </a:ext>
          </a:extLst>
        </xdr:cNvPr>
        <xdr:cNvSpPr>
          <a:spLocks noChangeShapeType="1"/>
        </xdr:cNvSpPr>
      </xdr:nvSpPr>
      <xdr:spPr bwMode="auto">
        <a:xfrm flipV="1">
          <a:off x="4248150" y="8372475"/>
          <a:ext cx="104775" cy="952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</xdr:colOff>
      <xdr:row>46</xdr:row>
      <xdr:rowOff>66675</xdr:rowOff>
    </xdr:from>
    <xdr:to>
      <xdr:col>24</xdr:col>
      <xdr:colOff>47625</xdr:colOff>
      <xdr:row>50</xdr:row>
      <xdr:rowOff>9525</xdr:rowOff>
    </xdr:to>
    <xdr:sp macro="" textlink="">
      <xdr:nvSpPr>
        <xdr:cNvPr id="48" name="Line 64">
          <a:extLst>
            <a:ext uri="{FF2B5EF4-FFF2-40B4-BE49-F238E27FC236}">
              <a16:creationId xmlns:a16="http://schemas.microsoft.com/office/drawing/2014/main" id="{00000000-0008-0000-0000-0000F81E0000}"/>
            </a:ext>
          </a:extLst>
        </xdr:cNvPr>
        <xdr:cNvSpPr>
          <a:spLocks noChangeShapeType="1"/>
        </xdr:cNvSpPr>
      </xdr:nvSpPr>
      <xdr:spPr bwMode="auto">
        <a:xfrm>
          <a:off x="3819525" y="7781925"/>
          <a:ext cx="495300" cy="62865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26</xdr:col>
      <xdr:colOff>0</xdr:colOff>
      <xdr:row>35</xdr:row>
      <xdr:rowOff>0</xdr:rowOff>
    </xdr:from>
    <xdr:to>
      <xdr:col>32</xdr:col>
      <xdr:colOff>0</xdr:colOff>
      <xdr:row>35</xdr:row>
      <xdr:rowOff>0</xdr:rowOff>
    </xdr:to>
    <xdr:sp macro="" textlink="">
      <xdr:nvSpPr>
        <xdr:cNvPr id="49" name="Line 166">
          <a:extLst>
            <a:ext uri="{FF2B5EF4-FFF2-40B4-BE49-F238E27FC236}">
              <a16:creationId xmlns:a16="http://schemas.microsoft.com/office/drawing/2014/main" id="{00000000-0008-0000-0000-0000F91E0000}"/>
            </a:ext>
          </a:extLst>
        </xdr:cNvPr>
        <xdr:cNvSpPr>
          <a:spLocks noChangeShapeType="1"/>
        </xdr:cNvSpPr>
      </xdr:nvSpPr>
      <xdr:spPr bwMode="auto">
        <a:xfrm flipV="1">
          <a:off x="4667250" y="6000750"/>
          <a:ext cx="1200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20</xdr:col>
      <xdr:colOff>0</xdr:colOff>
      <xdr:row>50</xdr:row>
      <xdr:rowOff>47625</xdr:rowOff>
    </xdr:from>
    <xdr:to>
      <xdr:col>24</xdr:col>
      <xdr:colOff>0</xdr:colOff>
      <xdr:row>51</xdr:row>
      <xdr:rowOff>142875</xdr:rowOff>
    </xdr:to>
    <xdr:sp macro="" textlink="">
      <xdr:nvSpPr>
        <xdr:cNvPr id="50" name="Oval 14">
          <a:extLst>
            <a:ext uri="{FF2B5EF4-FFF2-40B4-BE49-F238E27FC236}">
              <a16:creationId xmlns:a16="http://schemas.microsoft.com/office/drawing/2014/main" id="{00000000-0008-0000-0000-0000FA1E0000}"/>
            </a:ext>
          </a:extLst>
        </xdr:cNvPr>
        <xdr:cNvSpPr>
          <a:spLocks noChangeArrowheads="1"/>
        </xdr:cNvSpPr>
      </xdr:nvSpPr>
      <xdr:spPr bwMode="auto">
        <a:xfrm>
          <a:off x="4000500" y="8448675"/>
          <a:ext cx="26670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38100</xdr:colOff>
      <xdr:row>51</xdr:row>
      <xdr:rowOff>85725</xdr:rowOff>
    </xdr:from>
    <xdr:to>
      <xdr:col>30</xdr:col>
      <xdr:colOff>9525</xdr:colOff>
      <xdr:row>57</xdr:row>
      <xdr:rowOff>0</xdr:rowOff>
    </xdr:to>
    <xdr:sp macro="" textlink="">
      <xdr:nvSpPr>
        <xdr:cNvPr id="51" name="Freeform 70">
          <a:extLst>
            <a:ext uri="{FF2B5EF4-FFF2-40B4-BE49-F238E27FC236}">
              <a16:creationId xmlns:a16="http://schemas.microsoft.com/office/drawing/2014/main" id="{00000000-0008-0000-0000-0000FB1E0000}"/>
            </a:ext>
          </a:extLst>
        </xdr:cNvPr>
        <xdr:cNvSpPr>
          <a:spLocks/>
        </xdr:cNvSpPr>
      </xdr:nvSpPr>
      <xdr:spPr bwMode="auto">
        <a:xfrm>
          <a:off x="4171950" y="8658225"/>
          <a:ext cx="1304925" cy="942975"/>
        </a:xfrm>
        <a:custGeom>
          <a:avLst/>
          <a:gdLst>
            <a:gd name="T0" fmla="*/ 2147483647 w 137"/>
            <a:gd name="T1" fmla="*/ 2147483647 h 99"/>
            <a:gd name="T2" fmla="*/ 2147483647 w 137"/>
            <a:gd name="T3" fmla="*/ 2147483647 h 99"/>
            <a:gd name="T4" fmla="*/ 0 w 137"/>
            <a:gd name="T5" fmla="*/ 0 h 99"/>
            <a:gd name="T6" fmla="*/ 0 60000 65536"/>
            <a:gd name="T7" fmla="*/ 0 60000 65536"/>
            <a:gd name="T8" fmla="*/ 0 60000 65536"/>
            <a:gd name="T9" fmla="*/ 0 w 137"/>
            <a:gd name="T10" fmla="*/ 0 h 99"/>
            <a:gd name="T11" fmla="*/ 137 w 137"/>
            <a:gd name="T12" fmla="*/ 99 h 9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37" h="99">
              <a:moveTo>
                <a:pt x="137" y="99"/>
              </a:moveTo>
              <a:lnTo>
                <a:pt x="54" y="99"/>
              </a:lnTo>
              <a:lnTo>
                <a:pt x="0" y="0"/>
              </a:lnTo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arrow" w="sm" len="med"/>
        </a:ln>
      </xdr:spPr>
    </xdr:sp>
    <xdr:clientData/>
  </xdr:twoCellAnchor>
  <xdr:twoCellAnchor>
    <xdr:from>
      <xdr:col>25</xdr:col>
      <xdr:colOff>66675</xdr:colOff>
      <xdr:row>49</xdr:row>
      <xdr:rowOff>0</xdr:rowOff>
    </xdr:from>
    <xdr:to>
      <xdr:col>25</xdr:col>
      <xdr:colOff>66675</xdr:colOff>
      <xdr:row>53</xdr:row>
      <xdr:rowOff>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000-0000FC1E0000}"/>
            </a:ext>
          </a:extLst>
        </xdr:cNvPr>
        <xdr:cNvSpPr>
          <a:spLocks noChangeShapeType="1"/>
        </xdr:cNvSpPr>
      </xdr:nvSpPr>
      <xdr:spPr bwMode="auto">
        <a:xfrm flipV="1">
          <a:off x="4533900" y="8229600"/>
          <a:ext cx="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med"/>
          <a:tailEnd type="arrow" w="sm" len="med"/>
        </a:ln>
      </xdr:spPr>
    </xdr:sp>
    <xdr:clientData/>
  </xdr:twoCellAnchor>
  <xdr:twoCellAnchor>
    <xdr:from>
      <xdr:col>81</xdr:col>
      <xdr:colOff>54349</xdr:colOff>
      <xdr:row>18</xdr:row>
      <xdr:rowOff>11206</xdr:rowOff>
    </xdr:from>
    <xdr:to>
      <xdr:col>93</xdr:col>
      <xdr:colOff>257735</xdr:colOff>
      <xdr:row>27</xdr:row>
      <xdr:rowOff>0</xdr:rowOff>
    </xdr:to>
    <xdr:sp macro="" textlink="">
      <xdr:nvSpPr>
        <xdr:cNvPr id="53" name="テキスト ボックス 52"/>
        <xdr:cNvSpPr txBox="1"/>
      </xdr:nvSpPr>
      <xdr:spPr>
        <a:xfrm>
          <a:off x="14846114" y="3036794"/>
          <a:ext cx="8406092" cy="1501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latin typeface="+mn-ea"/>
              <a:ea typeface="+mn-ea"/>
            </a:rPr>
            <a:t>・　　　　　に入力（選択）</a:t>
          </a:r>
          <a:endParaRPr kumimoji="1" lang="en-US" altLang="ja-JP" sz="1400" b="1">
            <a:latin typeface="+mn-ea"/>
            <a:ea typeface="+mn-ea"/>
          </a:endParaRPr>
        </a:p>
        <a:p>
          <a:endParaRPr kumimoji="1" lang="en-US" altLang="ja-JP" sz="1400" b="1">
            <a:latin typeface="+mn-ea"/>
            <a:ea typeface="+mn-ea"/>
          </a:endParaRPr>
        </a:p>
        <a:p>
          <a:r>
            <a:rPr kumimoji="1" lang="ja-JP" altLang="en-US" sz="1400" b="1">
              <a:latin typeface="+mn-ea"/>
              <a:ea typeface="+mn-ea"/>
            </a:rPr>
            <a:t>・平面図・横断図・数量計算書があれば任意様式でよいが、計画図面と同形式とすること。</a:t>
          </a:r>
          <a:endParaRPr kumimoji="1" lang="en-US" altLang="ja-JP" sz="1400" b="1">
            <a:latin typeface="+mn-ea"/>
            <a:ea typeface="+mn-ea"/>
          </a:endParaRPr>
        </a:p>
        <a:p>
          <a:r>
            <a:rPr kumimoji="1" lang="ja-JP" altLang="en-US" sz="1400" b="1">
              <a:latin typeface="+mn-ea"/>
              <a:ea typeface="+mn-ea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352185</xdr:colOff>
          <xdr:row>19</xdr:row>
          <xdr:rowOff>26735</xdr:rowOff>
        </xdr:from>
        <xdr:to>
          <xdr:col>82</xdr:col>
          <xdr:colOff>485055</xdr:colOff>
          <xdr:row>21</xdr:row>
          <xdr:rowOff>3522</xdr:rowOff>
        </xdr:to>
        <xdr:pic>
          <xdr:nvPicPr>
            <xdr:cNvPr id="54" name="図 53"/>
            <xdr:cNvPicPr>
              <a:picLocks noChangeAspect="1" noChangeArrowheads="1"/>
              <a:extLst>
                <a:ext uri="{84589F7E-364E-4C9E-8A38-B11213B215E9}">
                  <a14:cameraTool cellRange="#REF!" spid="_x0000_s22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143950" y="3220411"/>
              <a:ext cx="816429" cy="3129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179294</xdr:colOff>
      <xdr:row>9</xdr:row>
      <xdr:rowOff>201706</xdr:rowOff>
    </xdr:from>
    <xdr:to>
      <xdr:col>48</xdr:col>
      <xdr:colOff>78441</xdr:colOff>
      <xdr:row>13</xdr:row>
      <xdr:rowOff>22412</xdr:rowOff>
    </xdr:to>
    <xdr:sp macro="" textlink="">
      <xdr:nvSpPr>
        <xdr:cNvPr id="2" name="テキスト ボックス 1"/>
        <xdr:cNvSpPr txBox="1"/>
      </xdr:nvSpPr>
      <xdr:spPr>
        <a:xfrm>
          <a:off x="7631206" y="2319618"/>
          <a:ext cx="2667000" cy="672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⇐ 必ず押印する。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10</xdr:row>
          <xdr:rowOff>38100</xdr:rowOff>
        </xdr:from>
        <xdr:to>
          <xdr:col>29</xdr:col>
          <xdr:colOff>152400</xdr:colOff>
          <xdr:row>10</xdr:row>
          <xdr:rowOff>295275</xdr:rowOff>
        </xdr:to>
        <xdr:sp macro="" textlink="">
          <xdr:nvSpPr>
            <xdr:cNvPr id="7169" name="チェック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168089</xdr:colOff>
      <xdr:row>10</xdr:row>
      <xdr:rowOff>179295</xdr:rowOff>
    </xdr:from>
    <xdr:to>
      <xdr:col>45</xdr:col>
      <xdr:colOff>201706</xdr:colOff>
      <xdr:row>15</xdr:row>
      <xdr:rowOff>168088</xdr:rowOff>
    </xdr:to>
    <xdr:sp macro="" textlink="">
      <xdr:nvSpPr>
        <xdr:cNvPr id="2" name="テキスト ボックス 1"/>
        <xdr:cNvSpPr txBox="1"/>
      </xdr:nvSpPr>
      <xdr:spPr>
        <a:xfrm>
          <a:off x="7563971" y="2386854"/>
          <a:ext cx="3171264" cy="1232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・任意様式でも可。</a:t>
          </a:r>
          <a:endParaRPr kumimoji="1" lang="en-US" altLang="ja-JP" sz="2000" b="1"/>
        </a:p>
        <a:p>
          <a:r>
            <a:rPr kumimoji="1" lang="ja-JP" altLang="en-US" sz="2000" b="1"/>
            <a:t>・押印がなくても可。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0;&#36947;&#32173;&#25345;&#35506;&#12288;&#20844;&#36947;&#20462;&#32341;/cleaned&#20462;&#32341;&#24037;&#20107;+&#31934;&#31639;&#26360;&#65288;R6&#21336;&#2038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最初に入力"/>
      <sheetName val="ﾁｪｯｸｼｰﾄ"/>
      <sheetName val="内訳書"/>
      <sheetName val="単価表"/>
      <sheetName val="単価"/>
      <sheetName val="Ⅰ 配管図(A4)"/>
      <sheetName val="Ⅰ 配管図(A3)"/>
      <sheetName val="Ⅱ 数量計算"/>
      <sheetName val="Ⅲ 平面図・位置図"/>
      <sheetName val="道路掘削"/>
      <sheetName val="写真帳 表紙"/>
      <sheetName val="リスト"/>
    </sheetNames>
    <sheetDataSet>
      <sheetData sheetId="0"/>
      <sheetData sheetId="1"/>
      <sheetData sheetId="2">
        <row r="7">
          <cell r="N7" t="str">
            <v>維持課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129"/>
  <sheetViews>
    <sheetView showGridLines="0" tabSelected="1" view="pageBreakPreview" zoomScale="70" zoomScaleNormal="85" zoomScaleSheetLayoutView="70" workbookViewId="0">
      <selection activeCell="AU120" sqref="AU120"/>
    </sheetView>
  </sheetViews>
  <sheetFormatPr defaultRowHeight="18.75" x14ac:dyDescent="0.4"/>
  <cols>
    <col min="1" max="20" width="2.625" style="100" customWidth="1"/>
    <col min="21" max="24" width="0.875" style="100" customWidth="1"/>
    <col min="25" max="76" width="2.625" style="100" customWidth="1"/>
    <col min="77" max="78" width="2.625" style="100" hidden="1" customWidth="1"/>
    <col min="79" max="79" width="3.625" style="100" hidden="1" customWidth="1"/>
    <col min="80" max="81" width="9" style="100" hidden="1" customWidth="1"/>
    <col min="82" max="82" width="9" style="100" customWidth="1"/>
    <col min="83" max="16384" width="9" style="100"/>
  </cols>
  <sheetData>
    <row r="1" spans="1:80" ht="13.5" customHeight="1" x14ac:dyDescent="0.4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60"/>
      <c r="BW1" s="160"/>
      <c r="BX1" s="161"/>
      <c r="BY1" s="99"/>
      <c r="BZ1" s="292"/>
      <c r="CA1" s="292"/>
      <c r="CB1" s="99"/>
    </row>
    <row r="2" spans="1:80" ht="13.5" customHeight="1" x14ac:dyDescent="0.4">
      <c r="A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62" t="s">
        <v>96</v>
      </c>
      <c r="AD2" s="293"/>
      <c r="AE2" s="293"/>
      <c r="AF2" s="293"/>
      <c r="AG2" s="293"/>
      <c r="AH2" s="293"/>
      <c r="AI2" s="160" t="s">
        <v>97</v>
      </c>
      <c r="AJ2" s="160"/>
      <c r="AK2" s="160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60"/>
      <c r="BW2" s="160"/>
      <c r="BX2" s="161"/>
      <c r="BY2" s="99"/>
      <c r="BZ2" s="201"/>
      <c r="CA2" s="201"/>
      <c r="CB2" s="99"/>
    </row>
    <row r="3" spans="1:80" ht="13.5" customHeight="1" x14ac:dyDescent="0.4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63"/>
      <c r="AD3" s="164"/>
      <c r="AE3" s="165" t="s">
        <v>98</v>
      </c>
      <c r="AF3" s="165">
        <f>D64</f>
        <v>1</v>
      </c>
      <c r="AG3" s="160" t="s">
        <v>99</v>
      </c>
      <c r="AH3" s="160"/>
      <c r="AI3" s="159"/>
      <c r="AJ3" s="160"/>
      <c r="AK3" s="160"/>
      <c r="AL3" s="159"/>
      <c r="AM3" s="159"/>
      <c r="AN3" s="159"/>
      <c r="AO3" s="159"/>
      <c r="AP3" s="159"/>
      <c r="AQ3" s="159"/>
      <c r="AR3" s="294" t="s">
        <v>100</v>
      </c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159"/>
      <c r="BV3" s="160"/>
      <c r="BW3" s="160"/>
      <c r="BX3" s="161"/>
      <c r="BY3" s="99"/>
      <c r="BZ3" s="201"/>
      <c r="CA3" s="201"/>
      <c r="CB3" s="99"/>
    </row>
    <row r="4" spans="1:80" ht="13.5" customHeight="1" x14ac:dyDescent="0.4">
      <c r="A4" s="159"/>
      <c r="B4" s="159"/>
      <c r="C4" s="159"/>
      <c r="D4" s="159"/>
      <c r="E4" s="276" t="s">
        <v>101</v>
      </c>
      <c r="F4" s="276"/>
      <c r="G4" s="276"/>
      <c r="H4" s="276"/>
      <c r="I4" s="276"/>
      <c r="J4" s="276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229" t="s">
        <v>102</v>
      </c>
      <c r="AK4" s="229"/>
      <c r="AL4" s="159"/>
      <c r="AM4" s="159"/>
      <c r="AN4" s="159"/>
      <c r="AO4" s="159"/>
      <c r="AP4" s="159"/>
      <c r="AQ4" s="159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159"/>
      <c r="BV4" s="160"/>
      <c r="BW4" s="160"/>
      <c r="BX4" s="161"/>
      <c r="BY4" s="99"/>
      <c r="BZ4" s="201"/>
      <c r="CA4" s="201"/>
      <c r="CB4" s="99"/>
    </row>
    <row r="5" spans="1:80" ht="13.5" customHeight="1" x14ac:dyDescent="0.4">
      <c r="A5" s="159"/>
      <c r="B5" s="159"/>
      <c r="C5" s="159"/>
      <c r="D5" s="159"/>
      <c r="E5" s="276"/>
      <c r="F5" s="276"/>
      <c r="G5" s="276"/>
      <c r="H5" s="276"/>
      <c r="I5" s="276"/>
      <c r="J5" s="276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59"/>
      <c r="BV5" s="160"/>
      <c r="BW5" s="160"/>
      <c r="BX5" s="161"/>
      <c r="BY5" s="99"/>
      <c r="BZ5" s="201"/>
      <c r="CA5" s="201"/>
      <c r="CB5" s="99"/>
    </row>
    <row r="6" spans="1:80" ht="13.5" customHeight="1" x14ac:dyDescent="0.3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 t="s">
        <v>103</v>
      </c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59"/>
      <c r="BV6" s="160"/>
      <c r="BW6" s="160"/>
      <c r="BX6" s="161"/>
      <c r="BY6" s="99"/>
      <c r="BZ6" s="99" t="s">
        <v>104</v>
      </c>
      <c r="CA6" s="99"/>
      <c r="CB6" s="99"/>
    </row>
    <row r="7" spans="1:80" ht="13.5" customHeight="1" x14ac:dyDescent="0.4">
      <c r="A7" s="159"/>
      <c r="B7" s="159"/>
      <c r="C7" s="159"/>
      <c r="D7" s="159"/>
      <c r="E7" s="159"/>
      <c r="F7" s="159"/>
      <c r="G7" s="229" t="s">
        <v>105</v>
      </c>
      <c r="H7" s="229"/>
      <c r="I7" s="229"/>
      <c r="J7" s="22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 t="s">
        <v>106</v>
      </c>
      <c r="AT7" s="159"/>
      <c r="AU7" s="159"/>
      <c r="AV7" s="159"/>
      <c r="AW7" s="159"/>
      <c r="AX7" s="159" t="str">
        <f>"（既存"&amp;T39&amp;"舗装厚 "&amp;Q39&amp;"㎝）"</f>
        <v>（既存Ａｓ舗装厚 5㎝）</v>
      </c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60"/>
      <c r="BW7" s="160"/>
      <c r="BX7" s="161"/>
      <c r="BY7" s="106"/>
      <c r="BZ7" s="201"/>
      <c r="CA7" s="201"/>
      <c r="CB7" s="99"/>
    </row>
    <row r="8" spans="1:80" ht="13.5" customHeight="1" x14ac:dyDescent="0.4">
      <c r="A8" s="159"/>
      <c r="B8" s="159"/>
      <c r="C8" s="159"/>
      <c r="D8" s="159"/>
      <c r="E8" s="159"/>
      <c r="F8" s="159"/>
      <c r="G8" s="159"/>
      <c r="H8" s="159"/>
      <c r="I8" s="107"/>
      <c r="J8" s="159"/>
      <c r="K8" s="159"/>
      <c r="L8" s="101"/>
      <c r="M8" s="159"/>
      <c r="N8" s="159"/>
      <c r="O8" s="159"/>
      <c r="P8" s="159"/>
      <c r="Q8" s="159"/>
      <c r="R8" s="159"/>
      <c r="S8" s="159"/>
      <c r="T8" s="163" t="s">
        <v>107</v>
      </c>
      <c r="U8" s="291">
        <v>5</v>
      </c>
      <c r="V8" s="291"/>
      <c r="W8" s="291"/>
      <c r="X8" s="291"/>
      <c r="Y8" s="291"/>
      <c r="Z8" s="159" t="s">
        <v>108</v>
      </c>
      <c r="AA8" s="159"/>
      <c r="AB8" s="159"/>
      <c r="AC8" s="159"/>
      <c r="AD8" s="159"/>
      <c r="AE8" s="159"/>
      <c r="AF8" s="103"/>
      <c r="AG8" s="101"/>
      <c r="AH8" s="108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 t="s">
        <v>109</v>
      </c>
      <c r="AU8" s="159"/>
      <c r="AV8" s="159"/>
      <c r="AW8" s="159"/>
      <c r="AX8" s="159"/>
      <c r="AY8" s="159"/>
      <c r="AZ8" s="159" t="str">
        <f>R12&amp;"×2"&amp;"＋"&amp;C19&amp;"＝　"&amp;BZ8&amp;"ｍ"</f>
        <v>2.5×2＋0.9＝　5.9ｍ</v>
      </c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60"/>
      <c r="BW8" s="160"/>
      <c r="BX8" s="161"/>
      <c r="BY8" s="106"/>
      <c r="BZ8" s="201">
        <f>ROUNDDOWN(R12*2+C19,3)</f>
        <v>5.9</v>
      </c>
      <c r="CA8" s="201"/>
      <c r="CB8" s="99"/>
    </row>
    <row r="9" spans="1:80" ht="13.5" customHeight="1" x14ac:dyDescent="0.4">
      <c r="A9" s="159"/>
      <c r="B9" s="159"/>
      <c r="C9" s="159"/>
      <c r="D9" s="159"/>
      <c r="E9" s="159"/>
      <c r="F9" s="159"/>
      <c r="G9" s="159"/>
      <c r="H9" s="159"/>
      <c r="I9" s="107"/>
      <c r="J9" s="159"/>
      <c r="K9" s="103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01"/>
      <c r="AH9" s="108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 t="s">
        <v>110</v>
      </c>
      <c r="AU9" s="159"/>
      <c r="AV9" s="159"/>
      <c r="AW9" s="159"/>
      <c r="AX9" s="159"/>
      <c r="AY9" s="159"/>
      <c r="AZ9" s="159" t="str">
        <f>R12&amp;"×"&amp;C19&amp;"＝　"&amp;BZ9&amp;"ｍ2"</f>
        <v>2.5×0.9＝　2.25ｍ2</v>
      </c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60"/>
      <c r="BW9" s="160"/>
      <c r="BX9" s="161"/>
      <c r="BY9" s="106"/>
      <c r="BZ9" s="201">
        <f>ROUNDDOWN(R12*C19,3)</f>
        <v>2.25</v>
      </c>
      <c r="CA9" s="201"/>
      <c r="CB9" s="99"/>
    </row>
    <row r="10" spans="1:80" ht="13.5" customHeight="1" x14ac:dyDescent="0.4">
      <c r="A10" s="159"/>
      <c r="B10" s="159"/>
      <c r="C10" s="159"/>
      <c r="D10" s="159"/>
      <c r="E10" s="159"/>
      <c r="F10" s="159"/>
      <c r="G10" s="159"/>
      <c r="H10" s="159"/>
      <c r="I10" s="107"/>
      <c r="J10" s="159"/>
      <c r="K10" s="103"/>
      <c r="L10" s="159"/>
      <c r="M10" s="159"/>
      <c r="N10" s="163" t="s">
        <v>111</v>
      </c>
      <c r="O10" s="235">
        <f>F14+I14+O14+W14</f>
        <v>3.5</v>
      </c>
      <c r="P10" s="235"/>
      <c r="Q10" s="235"/>
      <c r="R10" s="159" t="s">
        <v>108</v>
      </c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01"/>
      <c r="AH10" s="108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 t="s">
        <v>112</v>
      </c>
      <c r="AU10" s="159"/>
      <c r="AV10" s="159"/>
      <c r="AW10" s="159"/>
      <c r="AX10" s="159"/>
      <c r="AY10" s="159"/>
      <c r="AZ10" s="159" t="str">
        <f>BZ9&amp;"×"&amp;Q39/100&amp;"＝　"&amp;BZ10&amp;"ｍ3"</f>
        <v>2.25×0.05＝　0.112ｍ3</v>
      </c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60"/>
      <c r="BW10" s="160"/>
      <c r="BX10" s="161"/>
      <c r="BY10" s="106"/>
      <c r="BZ10" s="201">
        <f>ROUNDDOWN(BZ9*Q39/100,3)</f>
        <v>0.112</v>
      </c>
      <c r="CA10" s="201"/>
      <c r="CB10" s="99"/>
    </row>
    <row r="11" spans="1:80" ht="13.5" customHeight="1" x14ac:dyDescent="0.4">
      <c r="A11" s="159"/>
      <c r="B11" s="159"/>
      <c r="C11" s="159"/>
      <c r="D11" s="159"/>
      <c r="E11" s="159"/>
      <c r="F11" s="101"/>
      <c r="G11" s="159"/>
      <c r="H11" s="159"/>
      <c r="I11" s="107"/>
      <c r="J11" s="261" t="s">
        <v>113</v>
      </c>
      <c r="K11" s="103"/>
      <c r="L11" s="159"/>
      <c r="M11" s="159"/>
      <c r="N11" s="163"/>
      <c r="O11" s="164"/>
      <c r="P11" s="164"/>
      <c r="Q11" s="164"/>
      <c r="R11" s="159"/>
      <c r="S11" s="159"/>
      <c r="T11" s="159"/>
      <c r="U11" s="159"/>
      <c r="V11" s="159"/>
      <c r="W11" s="159"/>
      <c r="X11" s="159"/>
      <c r="Y11" s="159"/>
      <c r="Z11" s="103"/>
      <c r="AA11" s="159"/>
      <c r="AB11" s="159"/>
      <c r="AC11" s="159"/>
      <c r="AD11" s="159"/>
      <c r="AE11" s="159"/>
      <c r="AF11" s="159"/>
      <c r="AG11" s="289" t="s">
        <v>114</v>
      </c>
      <c r="AH11" s="262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 t="s">
        <v>115</v>
      </c>
      <c r="AU11" s="159"/>
      <c r="AV11" s="159"/>
      <c r="AW11" s="159"/>
      <c r="AX11" s="159"/>
      <c r="AY11" s="159"/>
      <c r="AZ11" s="159" t="str">
        <f>BZ10&amp;"×"&amp;IF(T39="Ａｓ",2.3,2.35)&amp;"＝　"&amp;BZ11&amp;"ｔ"</f>
        <v>0.112×2.3＝　0.257ｔ</v>
      </c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60"/>
      <c r="BW11" s="160"/>
      <c r="BX11" s="161"/>
      <c r="BY11" s="99"/>
      <c r="BZ11" s="201">
        <f>ROUNDDOWN(BZ10*IF(T39="Ａｓ",2.3,2.35),3)</f>
        <v>0.25700000000000001</v>
      </c>
      <c r="CA11" s="201"/>
      <c r="CB11" s="99"/>
    </row>
    <row r="12" spans="1:80" ht="13.5" customHeight="1" x14ac:dyDescent="0.4">
      <c r="A12" s="159"/>
      <c r="B12" s="159"/>
      <c r="C12" s="159"/>
      <c r="D12" s="159"/>
      <c r="E12" s="159"/>
      <c r="F12" s="101"/>
      <c r="G12" s="159"/>
      <c r="H12" s="159"/>
      <c r="I12" s="107"/>
      <c r="J12" s="261"/>
      <c r="K12" s="103"/>
      <c r="L12" s="159"/>
      <c r="M12" s="159"/>
      <c r="N12" s="159"/>
      <c r="O12" s="159"/>
      <c r="P12" s="159"/>
      <c r="Q12" s="163" t="s">
        <v>116</v>
      </c>
      <c r="R12" s="235">
        <f>O14+W14</f>
        <v>2.5</v>
      </c>
      <c r="S12" s="235"/>
      <c r="T12" s="164" t="s">
        <v>108</v>
      </c>
      <c r="U12" s="159"/>
      <c r="V12" s="159"/>
      <c r="W12" s="159"/>
      <c r="X12" s="159"/>
      <c r="Y12" s="159"/>
      <c r="Z12" s="103"/>
      <c r="AA12" s="159"/>
      <c r="AB12" s="159"/>
      <c r="AC12" s="290">
        <f>U8-R12</f>
        <v>2.5</v>
      </c>
      <c r="AD12" s="229"/>
      <c r="AE12" s="159" t="s">
        <v>108</v>
      </c>
      <c r="AF12" s="159"/>
      <c r="AG12" s="289"/>
      <c r="AH12" s="262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60"/>
      <c r="BW12" s="160"/>
      <c r="BX12" s="161"/>
      <c r="BY12" s="99"/>
      <c r="BZ12" s="201"/>
      <c r="CA12" s="201"/>
      <c r="CB12" s="99"/>
    </row>
    <row r="13" spans="1:80" ht="13.5" customHeight="1" x14ac:dyDescent="0.4">
      <c r="A13" s="159"/>
      <c r="B13" s="159"/>
      <c r="C13" s="159"/>
      <c r="D13" s="159"/>
      <c r="E13" s="159"/>
      <c r="F13" s="244" t="s">
        <v>117</v>
      </c>
      <c r="G13" s="229"/>
      <c r="H13" s="245"/>
      <c r="I13" s="109"/>
      <c r="J13" s="261"/>
      <c r="K13" s="110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03"/>
      <c r="AA13" s="159"/>
      <c r="AB13" s="159"/>
      <c r="AC13" s="159"/>
      <c r="AD13" s="159"/>
      <c r="AE13" s="159"/>
      <c r="AF13" s="159"/>
      <c r="AG13" s="289"/>
      <c r="AH13" s="262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 t="s">
        <v>118</v>
      </c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60"/>
      <c r="BW13" s="160"/>
      <c r="BX13" s="161"/>
      <c r="BY13" s="106"/>
      <c r="BZ13" s="201"/>
      <c r="CA13" s="201"/>
      <c r="CB13" s="99"/>
    </row>
    <row r="14" spans="1:80" ht="13.5" customHeight="1" x14ac:dyDescent="0.4">
      <c r="A14" s="159"/>
      <c r="B14" s="159"/>
      <c r="C14" s="159"/>
      <c r="D14" s="159"/>
      <c r="E14" s="159"/>
      <c r="F14" s="282">
        <v>0.5</v>
      </c>
      <c r="G14" s="283"/>
      <c r="H14" s="284"/>
      <c r="I14" s="285">
        <v>0.5</v>
      </c>
      <c r="J14" s="275"/>
      <c r="K14" s="286"/>
      <c r="L14" s="164"/>
      <c r="M14" s="164"/>
      <c r="N14" s="164"/>
      <c r="O14" s="287">
        <v>2</v>
      </c>
      <c r="P14" s="287"/>
      <c r="Q14" s="287"/>
      <c r="R14" s="164"/>
      <c r="S14" s="164"/>
      <c r="T14" s="164"/>
      <c r="U14" s="164"/>
      <c r="V14" s="110"/>
      <c r="W14" s="283">
        <v>0.5</v>
      </c>
      <c r="X14" s="283"/>
      <c r="Y14" s="283"/>
      <c r="Z14" s="288"/>
      <c r="AA14" s="159"/>
      <c r="AB14" s="159"/>
      <c r="AC14" s="159"/>
      <c r="AD14" s="159"/>
      <c r="AE14" s="159"/>
      <c r="AF14" s="159"/>
      <c r="AG14" s="101"/>
      <c r="AH14" s="108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 t="s">
        <v>119</v>
      </c>
      <c r="AU14" s="159"/>
      <c r="AV14" s="159"/>
      <c r="AW14" s="159"/>
      <c r="AX14" s="159"/>
      <c r="AY14" s="159" t="s">
        <v>120</v>
      </c>
      <c r="AZ14" s="159" t="str">
        <f>C43&amp;"×"&amp;F37&amp;"×"&amp;C19&amp;"＝　"&amp;BZ14&amp;"ｍ3"</f>
        <v>1.3×0.5×0.9＝　0.585ｍ3</v>
      </c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60"/>
      <c r="BW14" s="160"/>
      <c r="BX14" s="161"/>
      <c r="BY14" s="106"/>
      <c r="BZ14" s="201">
        <f>ROUNDDOWN(C43*F37*C19,3)</f>
        <v>0.58499999999999996</v>
      </c>
      <c r="CA14" s="201"/>
      <c r="CB14" s="99"/>
    </row>
    <row r="15" spans="1:80" ht="13.5" customHeight="1" x14ac:dyDescent="0.4">
      <c r="A15" s="159"/>
      <c r="B15" s="159"/>
      <c r="C15" s="159"/>
      <c r="D15" s="159"/>
      <c r="E15" s="159"/>
      <c r="F15" s="101"/>
      <c r="G15" s="159"/>
      <c r="H15" s="108"/>
      <c r="I15" s="109"/>
      <c r="J15" s="164"/>
      <c r="K15" s="110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10"/>
      <c r="W15" s="164"/>
      <c r="X15" s="164"/>
      <c r="Y15" s="164"/>
      <c r="Z15" s="110"/>
      <c r="AA15" s="159"/>
      <c r="AB15" s="159"/>
      <c r="AC15" s="159"/>
      <c r="AD15" s="159"/>
      <c r="AE15" s="159"/>
      <c r="AF15" s="159"/>
      <c r="AG15" s="101"/>
      <c r="AH15" s="108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 t="s">
        <v>121</v>
      </c>
      <c r="AZ15" s="159" t="str">
        <f>"（"&amp;M44-Q39/100&amp;"＋"&amp;R44-Q39/100&amp;"）÷2"&amp;"×"&amp;N37&amp;"×"&amp;C19&amp;"＝　"&amp;BZ15&amp;"ｍ3"</f>
        <v>（1.32＋1.45）÷2×1.5×0.9＝　1.869ｍ3</v>
      </c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60"/>
      <c r="BW15" s="160"/>
      <c r="BX15" s="161"/>
      <c r="BY15" s="106"/>
      <c r="BZ15" s="201">
        <f>ROUNDDOWN(((M44-Q39/100)+(R44-Q39/100))/2*N37*C19,3)</f>
        <v>1.869</v>
      </c>
      <c r="CA15" s="201"/>
      <c r="CB15" s="99"/>
    </row>
    <row r="16" spans="1:80" ht="13.5" customHeight="1" x14ac:dyDescent="0.4">
      <c r="A16" s="159"/>
      <c r="B16" s="159"/>
      <c r="C16" s="159"/>
      <c r="D16" s="159"/>
      <c r="E16" s="159"/>
      <c r="F16" s="101"/>
      <c r="G16" s="159"/>
      <c r="H16" s="108"/>
      <c r="I16" s="107"/>
      <c r="J16" s="159"/>
      <c r="K16" s="103"/>
      <c r="L16" s="159"/>
      <c r="M16" s="159"/>
      <c r="N16" s="159"/>
      <c r="O16" s="159"/>
      <c r="P16" s="159"/>
      <c r="Q16" s="159"/>
      <c r="R16" s="159"/>
      <c r="S16" s="159"/>
      <c r="T16" s="159"/>
      <c r="U16" s="111"/>
      <c r="V16" s="112"/>
      <c r="W16" s="159"/>
      <c r="X16" s="113"/>
      <c r="Y16" s="159"/>
      <c r="Z16" s="103"/>
      <c r="AA16" s="159"/>
      <c r="AB16" s="159"/>
      <c r="AC16" s="159"/>
      <c r="AD16" s="159"/>
      <c r="AE16" s="159"/>
      <c r="AF16" s="159"/>
      <c r="AG16" s="101"/>
      <c r="AH16" s="108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 t="s">
        <v>122</v>
      </c>
      <c r="AZ16" s="159" t="str">
        <f>AD45-Q39/100&amp;"×"&amp;T37&amp;"×"&amp;C19&amp;"＝　"&amp;BZ16&amp;"ｍ3"</f>
        <v>2.42×1×0.9＝　2.178ｍ3</v>
      </c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60"/>
      <c r="BW16" s="160"/>
      <c r="BX16" s="161"/>
      <c r="BY16" s="106"/>
      <c r="BZ16" s="201">
        <f>ROUNDDOWN((AD45-Q39/100)*T37*C19,3)</f>
        <v>2.1779999999999999</v>
      </c>
      <c r="CA16" s="201"/>
      <c r="CB16" s="99"/>
    </row>
    <row r="17" spans="1:81" ht="13.5" customHeight="1" x14ac:dyDescent="0.4">
      <c r="A17" s="159"/>
      <c r="B17" s="159"/>
      <c r="C17" s="159"/>
      <c r="D17" s="159"/>
      <c r="E17" s="159"/>
      <c r="F17" s="159"/>
      <c r="G17" s="159"/>
      <c r="H17" s="159"/>
      <c r="I17" s="107"/>
      <c r="J17" s="159"/>
      <c r="K17" s="103"/>
      <c r="L17" s="159"/>
      <c r="M17" s="159"/>
      <c r="N17" s="159"/>
      <c r="O17" s="159"/>
      <c r="P17" s="159"/>
      <c r="Q17" s="159"/>
      <c r="R17" s="159"/>
      <c r="S17" s="159"/>
      <c r="T17" s="159"/>
      <c r="U17" s="111"/>
      <c r="V17" s="112"/>
      <c r="W17" s="159"/>
      <c r="X17" s="113"/>
      <c r="Y17" s="159"/>
      <c r="Z17" s="159"/>
      <c r="AA17" s="159"/>
      <c r="AB17" s="159" t="s">
        <v>123</v>
      </c>
      <c r="AC17" s="159"/>
      <c r="AD17" s="159"/>
      <c r="AE17" s="159"/>
      <c r="AF17" s="159"/>
      <c r="AG17" s="101"/>
      <c r="AH17" s="108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 t="s">
        <v>124</v>
      </c>
      <c r="AZ17" s="168" t="str">
        <f>BZ14&amp;"＋"&amp;BZ15&amp;"＋"&amp;BZ16&amp;"－"&amp;CB17&amp;"＝　"&amp;BZ17&amp;"ｍ3"</f>
        <v>0.585＋1.869＋2.178－0.052＝　4.58ｍ3</v>
      </c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60"/>
      <c r="BW17" s="160"/>
      <c r="BX17" s="161"/>
      <c r="BY17" s="106"/>
      <c r="BZ17" s="201">
        <f>SUM(BZ14:CA16)-CB17</f>
        <v>4.58</v>
      </c>
      <c r="CA17" s="201"/>
      <c r="CB17" s="99">
        <f>ROUND(AB51^2*3.14/4*C19,3)</f>
        <v>5.1999999999999998E-2</v>
      </c>
      <c r="CC17" s="100" t="s">
        <v>125</v>
      </c>
    </row>
    <row r="18" spans="1:81" ht="13.5" customHeight="1" x14ac:dyDescent="0.4">
      <c r="A18" s="159"/>
      <c r="B18" s="159"/>
      <c r="C18" s="159"/>
      <c r="D18" s="97"/>
      <c r="E18" s="159"/>
      <c r="F18" s="96"/>
      <c r="G18" s="97"/>
      <c r="H18" s="97"/>
      <c r="I18" s="114"/>
      <c r="J18" s="115"/>
      <c r="K18" s="116"/>
      <c r="L18" s="97"/>
      <c r="M18" s="97"/>
      <c r="N18" s="97"/>
      <c r="O18" s="97"/>
      <c r="P18" s="97"/>
      <c r="Q18" s="97"/>
      <c r="R18" s="97"/>
      <c r="S18" s="117"/>
      <c r="T18" s="97"/>
      <c r="U18" s="118"/>
      <c r="V18" s="119"/>
      <c r="W18" s="97"/>
      <c r="X18" s="120"/>
      <c r="Y18" s="97"/>
      <c r="Z18" s="98"/>
      <c r="AA18" s="159"/>
      <c r="AB18" s="280" t="s">
        <v>126</v>
      </c>
      <c r="AC18" s="280"/>
      <c r="AD18" s="280"/>
      <c r="AE18" s="280"/>
      <c r="AF18" s="159"/>
      <c r="AG18" s="101"/>
      <c r="AH18" s="108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 t="s">
        <v>127</v>
      </c>
      <c r="AU18" s="159"/>
      <c r="AV18" s="159"/>
      <c r="AW18" s="159"/>
      <c r="AX18" s="159"/>
      <c r="AY18" s="159" t="s">
        <v>120</v>
      </c>
      <c r="AZ18" s="159" t="str">
        <f>"0.37×"&amp;F14&amp;"×"&amp;C19&amp;"＝　"&amp;BZ18&amp;"ｍ3"</f>
        <v>0.37×0.5×0.9＝　0.166ｍ3</v>
      </c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60"/>
      <c r="BW18" s="160"/>
      <c r="BX18" s="161"/>
      <c r="BY18" s="106"/>
      <c r="BZ18" s="201">
        <f>ROUNDDOWN(0.37*F37*C19,3)</f>
        <v>0.16600000000000001</v>
      </c>
      <c r="CA18" s="201"/>
      <c r="CB18" s="99"/>
    </row>
    <row r="19" spans="1:81" ht="13.5" customHeight="1" x14ac:dyDescent="0.4">
      <c r="A19" s="159"/>
      <c r="B19" s="159"/>
      <c r="C19" s="281">
        <v>0.9</v>
      </c>
      <c r="D19" s="169"/>
      <c r="E19" s="159"/>
      <c r="F19" s="101"/>
      <c r="G19" s="159"/>
      <c r="H19" s="159"/>
      <c r="I19" s="107"/>
      <c r="J19" s="159"/>
      <c r="K19" s="103"/>
      <c r="L19" s="159"/>
      <c r="M19" s="159"/>
      <c r="N19" s="159"/>
      <c r="O19" s="159"/>
      <c r="P19" s="159"/>
      <c r="Q19" s="159"/>
      <c r="R19" s="159"/>
      <c r="S19" s="121"/>
      <c r="T19" s="159"/>
      <c r="U19" s="122"/>
      <c r="V19" s="123"/>
      <c r="W19" s="124"/>
      <c r="X19" s="113"/>
      <c r="Y19" s="159"/>
      <c r="Z19" s="103"/>
      <c r="AA19" s="159"/>
      <c r="AB19" s="159"/>
      <c r="AC19" s="159"/>
      <c r="AD19" s="159"/>
      <c r="AE19" s="159"/>
      <c r="AF19" s="159"/>
      <c r="AG19" s="101"/>
      <c r="AH19" s="108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 t="s">
        <v>121</v>
      </c>
      <c r="AZ19" s="159" t="str">
        <f>"0.37×"&amp;N37&amp;"×"&amp;C19&amp;"＝　"&amp;BZ19&amp;"ｍ3"</f>
        <v>0.37×1.5×0.9＝　0.499ｍ3</v>
      </c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60"/>
      <c r="BW19" s="160"/>
      <c r="BX19" s="161"/>
      <c r="BY19" s="106"/>
      <c r="BZ19" s="201">
        <f>ROUNDDOWN(0.37*N37*C19,3)</f>
        <v>0.499</v>
      </c>
      <c r="CA19" s="201"/>
      <c r="CB19" s="99"/>
    </row>
    <row r="20" spans="1:81" ht="13.5" customHeight="1" x14ac:dyDescent="0.4">
      <c r="A20" s="159"/>
      <c r="B20" s="159"/>
      <c r="C20" s="281"/>
      <c r="D20" s="169"/>
      <c r="E20" s="159"/>
      <c r="F20" s="101"/>
      <c r="G20" s="125"/>
      <c r="H20" s="126"/>
      <c r="I20" s="127"/>
      <c r="J20" s="126"/>
      <c r="K20" s="128"/>
      <c r="L20" s="126"/>
      <c r="M20" s="126" t="s">
        <v>128</v>
      </c>
      <c r="N20" s="126"/>
      <c r="O20" s="126"/>
      <c r="P20" s="126"/>
      <c r="Q20" s="126"/>
      <c r="R20" s="126"/>
      <c r="S20" s="126"/>
      <c r="T20" s="126"/>
      <c r="U20" s="128"/>
      <c r="V20" s="129"/>
      <c r="W20" s="130"/>
      <c r="X20" s="113"/>
      <c r="Y20" s="159"/>
      <c r="Z20" s="103"/>
      <c r="AA20" s="159"/>
      <c r="AB20" s="159"/>
      <c r="AC20" s="159"/>
      <c r="AD20" s="159"/>
      <c r="AE20" s="159"/>
      <c r="AF20" s="159"/>
      <c r="AG20" s="101"/>
      <c r="AH20" s="108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 t="s">
        <v>122</v>
      </c>
      <c r="AZ20" s="159" t="str">
        <f>CB20&amp;"×"&amp;T37&amp;"×"&amp;C19&amp;"＝　"&amp;BZ20&amp;"ｍ3"</f>
        <v>1.34×1×0.9＝　1.206ｍ3</v>
      </c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60"/>
      <c r="BW20" s="160"/>
      <c r="BX20" s="161"/>
      <c r="BY20" s="106"/>
      <c r="BZ20" s="201">
        <f>ROUNDDOWN(CB20*T37*C19,3)</f>
        <v>1.206</v>
      </c>
      <c r="CA20" s="201"/>
      <c r="CB20" s="99">
        <f>IF(P50+0.37&gt;Y51,P50+0.37,Y51)</f>
        <v>1.3399999999999999</v>
      </c>
    </row>
    <row r="21" spans="1:81" ht="13.5" customHeight="1" x14ac:dyDescent="0.4">
      <c r="A21" s="159"/>
      <c r="B21" s="159"/>
      <c r="C21" s="281"/>
      <c r="D21" s="169"/>
      <c r="E21" s="159"/>
      <c r="F21" s="101"/>
      <c r="G21" s="159"/>
      <c r="H21" s="159"/>
      <c r="I21" s="107"/>
      <c r="J21" s="159"/>
      <c r="K21" s="103"/>
      <c r="L21" s="159"/>
      <c r="M21" s="159"/>
      <c r="N21" s="159"/>
      <c r="O21" s="159"/>
      <c r="P21" s="159"/>
      <c r="Q21" s="159"/>
      <c r="R21" s="159"/>
      <c r="S21" s="117"/>
      <c r="T21" s="159"/>
      <c r="U21" s="131"/>
      <c r="V21" s="132"/>
      <c r="W21" s="133"/>
      <c r="X21" s="113"/>
      <c r="Y21" s="159"/>
      <c r="Z21" s="103"/>
      <c r="AA21" s="159"/>
      <c r="AB21" s="159"/>
      <c r="AC21" s="159"/>
      <c r="AD21" s="159"/>
      <c r="AE21" s="159"/>
      <c r="AF21" s="159"/>
      <c r="AG21" s="101"/>
      <c r="AH21" s="108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 t="s">
        <v>124</v>
      </c>
      <c r="AZ21" s="168" t="str">
        <f>BZ18&amp;"＋"&amp;BZ19&amp;"＋"&amp;BZ20&amp;"－"&amp;CB21&amp;"－"&amp;CB17&amp;"＝　"&amp;BZ21&amp;"ｍ3"</f>
        <v>0.166＋0.499＋1.206－0.065－0.052＝　1.754ｍ3</v>
      </c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60"/>
      <c r="BW21" s="160"/>
      <c r="BX21" s="161"/>
      <c r="BY21" s="106"/>
      <c r="BZ21" s="201">
        <f>SUM(BZ18:CA20)-CB21-CB17</f>
        <v>1.754</v>
      </c>
      <c r="CA21" s="201"/>
      <c r="CB21" s="99">
        <f>ROUND(0.17^2*3.14/4*(G24+N37+T48),3)</f>
        <v>6.5000000000000002E-2</v>
      </c>
      <c r="CC21" s="100" t="s">
        <v>129</v>
      </c>
    </row>
    <row r="22" spans="1:81" ht="13.5" customHeight="1" x14ac:dyDescent="0.4">
      <c r="A22" s="159"/>
      <c r="B22" s="159"/>
      <c r="C22" s="159"/>
      <c r="D22" s="134"/>
      <c r="E22" s="159"/>
      <c r="F22" s="135"/>
      <c r="G22" s="134"/>
      <c r="H22" s="134"/>
      <c r="I22" s="136"/>
      <c r="J22" s="137"/>
      <c r="K22" s="138"/>
      <c r="L22" s="134"/>
      <c r="M22" s="134"/>
      <c r="N22" s="134"/>
      <c r="O22" s="134"/>
      <c r="P22" s="134"/>
      <c r="Q22" s="134"/>
      <c r="R22" s="134"/>
      <c r="S22" s="121"/>
      <c r="T22" s="134"/>
      <c r="U22" s="139"/>
      <c r="V22" s="140"/>
      <c r="W22" s="134"/>
      <c r="X22" s="141"/>
      <c r="Y22" s="134"/>
      <c r="Z22" s="142"/>
      <c r="AA22" s="159"/>
      <c r="AB22" s="159"/>
      <c r="AC22" s="159"/>
      <c r="AD22" s="159"/>
      <c r="AE22" s="159"/>
      <c r="AF22" s="159"/>
      <c r="AG22" s="101"/>
      <c r="AH22" s="108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 t="s">
        <v>130</v>
      </c>
      <c r="AU22" s="159"/>
      <c r="AV22" s="159"/>
      <c r="AW22" s="159"/>
      <c r="AX22" s="159"/>
      <c r="AY22" s="159" t="s">
        <v>121</v>
      </c>
      <c r="AZ22" s="159" t="str">
        <f>"（"&amp;M44-L64/100-0.37&amp;"＋"&amp;R44-L64/100-0.37&amp;"）÷2"&amp;"×"&amp;N37&amp;"×"&amp;C19&amp;"＝　"&amp;BZ22&amp;"ｍ3"</f>
        <v>（0.55＋0.68）÷2×1.5×0.9＝　0.83ｍ3</v>
      </c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60"/>
      <c r="BW22" s="160"/>
      <c r="BX22" s="161"/>
      <c r="BY22" s="106"/>
      <c r="BZ22" s="201">
        <f>ROUNDDOWN(((M44-L64/100-0.37)+(R44-L64/100-0.37))/2*N37*C19,3)</f>
        <v>0.83</v>
      </c>
      <c r="CA22" s="201"/>
      <c r="CB22" s="99"/>
    </row>
    <row r="23" spans="1:81" ht="13.5" customHeight="1" x14ac:dyDescent="0.4">
      <c r="A23" s="159"/>
      <c r="B23" s="159"/>
      <c r="C23" s="159"/>
      <c r="D23" s="159"/>
      <c r="E23" s="159"/>
      <c r="F23" s="159"/>
      <c r="G23" s="159"/>
      <c r="H23" s="159"/>
      <c r="I23" s="107"/>
      <c r="J23" s="159"/>
      <c r="K23" s="103"/>
      <c r="L23" s="159"/>
      <c r="M23" s="159"/>
      <c r="N23" s="159"/>
      <c r="O23" s="159"/>
      <c r="P23" s="159"/>
      <c r="Q23" s="159"/>
      <c r="R23" s="159"/>
      <c r="S23" s="159"/>
      <c r="T23" s="159"/>
      <c r="U23" s="111"/>
      <c r="V23" s="112"/>
      <c r="W23" s="159"/>
      <c r="X23" s="113"/>
      <c r="Y23" s="159"/>
      <c r="Z23" s="159"/>
      <c r="AA23" s="159"/>
      <c r="AB23" s="159"/>
      <c r="AC23" s="159"/>
      <c r="AD23" s="159"/>
      <c r="AE23" s="159"/>
      <c r="AF23" s="159"/>
      <c r="AG23" s="101"/>
      <c r="AH23" s="108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 t="s">
        <v>122</v>
      </c>
      <c r="AZ23" s="159" t="str">
        <f>ROUND(AD45-L64/100-CB20,2)&amp;"×"&amp;T37&amp;"×"&amp;C19&amp;"＝　"&amp;BZ23&amp;"ｍ3"</f>
        <v>0.68×1×0.9＝　0.612ｍ3</v>
      </c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60"/>
      <c r="BW23" s="160"/>
      <c r="BX23" s="161"/>
      <c r="BY23" s="106"/>
      <c r="BZ23" s="201">
        <f>ROUNDDOWN((AD45-L64/100-CB20)*T37*C19,3)</f>
        <v>0.61199999999999999</v>
      </c>
      <c r="CA23" s="201"/>
      <c r="CB23" s="99"/>
    </row>
    <row r="24" spans="1:81" ht="13.5" customHeight="1" x14ac:dyDescent="0.4">
      <c r="A24" s="159"/>
      <c r="B24" s="159"/>
      <c r="C24" s="159"/>
      <c r="D24" s="159"/>
      <c r="E24" s="159"/>
      <c r="F24" s="159"/>
      <c r="G24" s="244">
        <v>0.3</v>
      </c>
      <c r="H24" s="245"/>
      <c r="I24" s="107"/>
      <c r="J24" s="159"/>
      <c r="K24" s="103"/>
      <c r="L24" s="159"/>
      <c r="M24" s="159"/>
      <c r="N24" s="159"/>
      <c r="O24" s="159"/>
      <c r="P24" s="159"/>
      <c r="Q24" s="159"/>
      <c r="R24" s="159"/>
      <c r="S24" s="159"/>
      <c r="T24" s="159"/>
      <c r="U24" s="111"/>
      <c r="V24" s="112"/>
      <c r="W24" s="159"/>
      <c r="X24" s="113"/>
      <c r="Y24" s="159"/>
      <c r="Z24" s="159"/>
      <c r="AA24" s="159"/>
      <c r="AB24" s="159"/>
      <c r="AC24" s="159"/>
      <c r="AD24" s="159"/>
      <c r="AE24" s="159"/>
      <c r="AF24" s="159"/>
      <c r="AG24" s="101"/>
      <c r="AH24" s="108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 t="s">
        <v>124</v>
      </c>
      <c r="AZ24" s="168" t="str">
        <f>BZ22&amp;"＋"&amp;BZ23&amp;"＝　"&amp;BZ24&amp;"ｍ3"</f>
        <v>0.83＋0.612＝　1.442ｍ3</v>
      </c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60"/>
      <c r="BW24" s="160"/>
      <c r="BX24" s="161"/>
      <c r="BY24" s="106"/>
      <c r="BZ24" s="201">
        <f>SUM(BZ22:CA23)</f>
        <v>1.4419999999999999</v>
      </c>
      <c r="CA24" s="201"/>
      <c r="CB24" s="99"/>
    </row>
    <row r="25" spans="1:81" ht="13.5" customHeight="1" x14ac:dyDescent="0.4">
      <c r="A25" s="159"/>
      <c r="B25" s="159"/>
      <c r="C25" s="159"/>
      <c r="D25" s="159"/>
      <c r="E25" s="159"/>
      <c r="F25" s="159"/>
      <c r="G25" s="101"/>
      <c r="H25" s="108"/>
      <c r="I25" s="107"/>
      <c r="J25" s="159"/>
      <c r="K25" s="103"/>
      <c r="L25" s="159"/>
      <c r="M25" s="159"/>
      <c r="N25" s="159"/>
      <c r="O25" s="159"/>
      <c r="P25" s="159"/>
      <c r="Q25" s="159"/>
      <c r="R25" s="159"/>
      <c r="S25" s="159"/>
      <c r="T25" s="159"/>
      <c r="U25" s="111"/>
      <c r="V25" s="112"/>
      <c r="W25" s="159"/>
      <c r="X25" s="113"/>
      <c r="Y25" s="159"/>
      <c r="Z25" s="159"/>
      <c r="AA25" s="159"/>
      <c r="AB25" s="159"/>
      <c r="AC25" s="159"/>
      <c r="AD25" s="159"/>
      <c r="AE25" s="159"/>
      <c r="AF25" s="159"/>
      <c r="AG25" s="101"/>
      <c r="AH25" s="108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 t="s">
        <v>131</v>
      </c>
      <c r="AU25" s="159"/>
      <c r="AV25" s="159"/>
      <c r="AW25" s="159"/>
      <c r="AX25" s="159"/>
      <c r="AY25" s="159" t="s">
        <v>120</v>
      </c>
      <c r="AZ25" s="159" t="str">
        <f>C43-0.37&amp;"×"&amp;F37&amp;"×"&amp;C19&amp;"＝　"&amp;BZ25&amp;"ｍ3"</f>
        <v>0.93×0.5×0.9＝　0.418ｍ3</v>
      </c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60"/>
      <c r="BW25" s="160"/>
      <c r="BX25" s="161"/>
      <c r="BY25" s="106"/>
      <c r="BZ25" s="201">
        <f>ROUNDDOWN((C43-0.37)*F37*C19,3)</f>
        <v>0.41799999999999998</v>
      </c>
      <c r="CA25" s="201"/>
      <c r="CB25" s="99"/>
    </row>
    <row r="26" spans="1:81" ht="13.5" customHeight="1" x14ac:dyDescent="0.4">
      <c r="A26" s="159"/>
      <c r="B26" s="159"/>
      <c r="C26" s="159"/>
      <c r="D26" s="159"/>
      <c r="E26" s="159"/>
      <c r="F26" s="159"/>
      <c r="G26" s="101"/>
      <c r="H26" s="108"/>
      <c r="I26" s="107"/>
      <c r="J26" s="159"/>
      <c r="K26" s="103"/>
      <c r="L26" s="159"/>
      <c r="M26" s="159"/>
      <c r="N26" s="159"/>
      <c r="O26" s="163" t="s">
        <v>132</v>
      </c>
      <c r="P26" s="279">
        <f>G24+I14+O14</f>
        <v>2.8</v>
      </c>
      <c r="Q26" s="279"/>
      <c r="R26" s="279"/>
      <c r="S26" s="159" t="s">
        <v>108</v>
      </c>
      <c r="T26" s="159"/>
      <c r="U26" s="111"/>
      <c r="V26" s="112"/>
      <c r="W26" s="159"/>
      <c r="X26" s="113"/>
      <c r="Y26" s="159"/>
      <c r="Z26" s="159"/>
      <c r="AA26" s="159"/>
      <c r="AB26" s="159"/>
      <c r="AC26" s="159"/>
      <c r="AD26" s="159"/>
      <c r="AE26" s="159"/>
      <c r="AF26" s="159"/>
      <c r="AG26" s="101"/>
      <c r="AH26" s="108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 t="s">
        <v>133</v>
      </c>
      <c r="AU26" s="159"/>
      <c r="AV26" s="159"/>
      <c r="AW26" s="159"/>
      <c r="AX26" s="159"/>
      <c r="AY26" s="159"/>
      <c r="AZ26" s="159" t="str">
        <f>BZ17&amp;"－"&amp;BZ25&amp;"＝　"&amp;BZ26&amp;"ｍ3"</f>
        <v>4.58－0.418＝　4.162ｍ3</v>
      </c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60"/>
      <c r="BW26" s="160"/>
      <c r="BX26" s="161"/>
      <c r="BY26" s="99"/>
      <c r="BZ26" s="201">
        <f>ROUNDDOWN(BZ17-BZ25,3)</f>
        <v>4.1619999999999999</v>
      </c>
      <c r="CA26" s="201"/>
      <c r="CB26" s="99"/>
    </row>
    <row r="27" spans="1:81" ht="13.5" customHeight="1" x14ac:dyDescent="0.4">
      <c r="A27" s="159"/>
      <c r="B27" s="159"/>
      <c r="C27" s="159"/>
      <c r="D27" s="159"/>
      <c r="E27" s="159"/>
      <c r="F27" s="159"/>
      <c r="G27" s="159"/>
      <c r="H27" s="108"/>
      <c r="I27" s="107"/>
      <c r="J27" s="159"/>
      <c r="K27" s="103"/>
      <c r="L27" s="159"/>
      <c r="M27" s="159"/>
      <c r="N27" s="159"/>
      <c r="O27" s="159"/>
      <c r="P27" s="159"/>
      <c r="Q27" s="159"/>
      <c r="R27" s="159"/>
      <c r="S27" s="159"/>
      <c r="T27" s="159"/>
      <c r="U27" s="111"/>
      <c r="V27" s="112"/>
      <c r="W27" s="159"/>
      <c r="X27" s="113"/>
      <c r="Y27" s="159"/>
      <c r="Z27" s="159"/>
      <c r="AA27" s="159"/>
      <c r="AB27" s="159"/>
      <c r="AC27" s="159"/>
      <c r="AD27" s="159"/>
      <c r="AE27" s="159"/>
      <c r="AF27" s="159"/>
      <c r="AG27" s="101"/>
      <c r="AH27" s="108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60"/>
      <c r="BW27" s="160"/>
      <c r="BX27" s="161"/>
      <c r="BY27" s="99"/>
      <c r="BZ27" s="201"/>
      <c r="CA27" s="201"/>
      <c r="CB27" s="99"/>
    </row>
    <row r="28" spans="1:81" ht="13.5" customHeight="1" x14ac:dyDescent="0.4">
      <c r="A28" s="159"/>
      <c r="B28" s="159"/>
      <c r="C28" s="159"/>
      <c r="D28" s="159"/>
      <c r="E28" s="159"/>
      <c r="F28" s="159"/>
      <c r="G28" s="159"/>
      <c r="H28" s="159"/>
      <c r="I28" s="107"/>
      <c r="J28" s="159"/>
      <c r="K28" s="103"/>
      <c r="L28" s="159"/>
      <c r="M28" s="159"/>
      <c r="N28" s="159"/>
      <c r="O28" s="159"/>
      <c r="P28" s="159"/>
      <c r="Q28" s="159"/>
      <c r="R28" s="159"/>
      <c r="S28" s="159"/>
      <c r="T28" s="159"/>
      <c r="U28" s="111"/>
      <c r="V28" s="112"/>
      <c r="W28" s="159"/>
      <c r="X28" s="113"/>
      <c r="Y28" s="159"/>
      <c r="Z28" s="159"/>
      <c r="AA28" s="159"/>
      <c r="AB28" s="159"/>
      <c r="AC28" s="159"/>
      <c r="AD28" s="159"/>
      <c r="AE28" s="159"/>
      <c r="AF28" s="159"/>
      <c r="AG28" s="101"/>
      <c r="AH28" s="108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 t="s">
        <v>134</v>
      </c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60"/>
      <c r="BW28" s="160"/>
      <c r="BX28" s="161"/>
      <c r="BY28" s="106"/>
      <c r="BZ28" s="201"/>
      <c r="CA28" s="201"/>
      <c r="CB28" s="99"/>
    </row>
    <row r="29" spans="1:81" ht="13.5" customHeight="1" x14ac:dyDescent="0.4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 t="s">
        <v>135</v>
      </c>
      <c r="AU29" s="159"/>
      <c r="AV29" s="159"/>
      <c r="AW29" s="159"/>
      <c r="AX29" s="159"/>
      <c r="AY29" s="163" t="s">
        <v>136</v>
      </c>
      <c r="AZ29" s="255">
        <f>ROUNDDOWN(R55,2)</f>
        <v>3.35</v>
      </c>
      <c r="BA29" s="255"/>
      <c r="BB29" s="159" t="s">
        <v>108</v>
      </c>
      <c r="BC29" s="159"/>
      <c r="BD29" s="277" t="s">
        <v>268</v>
      </c>
      <c r="BE29" s="277"/>
      <c r="BF29" s="277"/>
      <c r="BG29" s="277"/>
      <c r="BH29" s="277"/>
      <c r="BI29" s="451"/>
      <c r="BJ29" s="451"/>
      <c r="BK29" s="278" t="s">
        <v>269</v>
      </c>
      <c r="BL29" s="278"/>
      <c r="BM29" s="278"/>
      <c r="BN29" s="278"/>
      <c r="BO29" s="278"/>
      <c r="BP29" s="451"/>
      <c r="BQ29" s="451"/>
      <c r="BR29" s="182" t="s">
        <v>270</v>
      </c>
      <c r="BS29" s="159"/>
      <c r="BT29" s="159"/>
      <c r="BU29" s="159"/>
      <c r="BV29" s="160"/>
      <c r="BW29" s="160"/>
      <c r="BX29" s="161"/>
      <c r="BY29" s="106"/>
      <c r="BZ29" s="201"/>
      <c r="CA29" s="201"/>
      <c r="CB29" s="99"/>
    </row>
    <row r="30" spans="1:81" ht="13.5" customHeight="1" x14ac:dyDescent="0.4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 t="s">
        <v>137</v>
      </c>
      <c r="AU30" s="159"/>
      <c r="AV30" s="159"/>
      <c r="AW30" s="159"/>
      <c r="AX30" s="159"/>
      <c r="AY30" s="159"/>
      <c r="AZ30" s="159"/>
      <c r="BA30" s="159">
        <v>1</v>
      </c>
      <c r="BB30" s="159" t="s">
        <v>138</v>
      </c>
      <c r="BC30" s="159"/>
      <c r="BD30" s="159" t="str">
        <f>"（本管"&amp;AB18&amp;"）"</f>
        <v>（本管φ２５０ＶＵ）</v>
      </c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60"/>
      <c r="BW30" s="160"/>
      <c r="BX30" s="161"/>
      <c r="BY30" s="106"/>
      <c r="BZ30" s="201"/>
      <c r="CA30" s="201"/>
      <c r="CB30" s="99"/>
    </row>
    <row r="31" spans="1:81" ht="13.5" customHeight="1" x14ac:dyDescent="0.4">
      <c r="A31" s="159"/>
      <c r="B31" s="159"/>
      <c r="C31" s="159"/>
      <c r="D31" s="159"/>
      <c r="E31" s="276" t="s">
        <v>139</v>
      </c>
      <c r="F31" s="276"/>
      <c r="G31" s="276"/>
      <c r="H31" s="276"/>
      <c r="I31" s="276"/>
      <c r="J31" s="276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 t="s">
        <v>140</v>
      </c>
      <c r="AU31" s="159"/>
      <c r="AV31" s="159"/>
      <c r="AW31" s="159"/>
      <c r="AX31" s="159"/>
      <c r="AY31" s="163" t="s">
        <v>136</v>
      </c>
      <c r="AZ31" s="159" t="str">
        <f>IF(I14=0,"－－",IF(BK31="無",I14&amp;"ｍ",I14&amp;"+0.1＝　"&amp;BZ31&amp;"ｍ"))</f>
        <v>0.5+0.1＝　0.6ｍ</v>
      </c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452" t="s">
        <v>141</v>
      </c>
      <c r="BL31" s="452"/>
      <c r="BM31" s="159"/>
      <c r="BN31" s="159"/>
      <c r="BO31" s="159"/>
      <c r="BP31" s="159"/>
      <c r="BQ31" s="159"/>
      <c r="BR31" s="159"/>
      <c r="BS31" s="159"/>
      <c r="BT31" s="159"/>
      <c r="BU31" s="159"/>
      <c r="BV31" s="160"/>
      <c r="BW31" s="160"/>
      <c r="BX31" s="161"/>
      <c r="BY31" s="99"/>
      <c r="BZ31" s="201">
        <f>I14+0.1</f>
        <v>0.6</v>
      </c>
      <c r="CA31" s="201"/>
      <c r="CB31" s="99"/>
    </row>
    <row r="32" spans="1:81" ht="13.5" customHeight="1" x14ac:dyDescent="0.4">
      <c r="A32" s="159"/>
      <c r="B32" s="159"/>
      <c r="C32" s="159"/>
      <c r="D32" s="159"/>
      <c r="E32" s="276"/>
      <c r="F32" s="276"/>
      <c r="G32" s="276"/>
      <c r="H32" s="276"/>
      <c r="I32" s="276"/>
      <c r="J32" s="276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60"/>
      <c r="BW32" s="160"/>
      <c r="BX32" s="161"/>
      <c r="BY32" s="99"/>
      <c r="BZ32" s="201"/>
      <c r="CA32" s="201"/>
      <c r="CB32" s="99"/>
    </row>
    <row r="33" spans="1:81" ht="13.5" customHeight="1" x14ac:dyDescent="0.35">
      <c r="A33" s="159"/>
      <c r="B33" s="159"/>
      <c r="C33" s="159"/>
      <c r="D33" s="159"/>
      <c r="E33" s="170"/>
      <c r="F33" s="170"/>
      <c r="G33" s="170"/>
      <c r="H33" s="170"/>
      <c r="I33" s="170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 t="s">
        <v>142</v>
      </c>
      <c r="AT33" s="159"/>
      <c r="AU33" s="159"/>
      <c r="AV33" s="159"/>
      <c r="AW33" s="159"/>
      <c r="AX33" s="159"/>
      <c r="AY33" s="163" t="s">
        <v>143</v>
      </c>
      <c r="AZ33" s="229" t="str">
        <f>VLOOKUP($F$71,$A$77:$X$89,3,FALSE)</f>
        <v>車Ａｓ－Ｌ</v>
      </c>
      <c r="BA33" s="229"/>
      <c r="BB33" s="229"/>
      <c r="BC33" s="229"/>
      <c r="BD33" s="159" t="s">
        <v>144</v>
      </c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60"/>
      <c r="BW33" s="160"/>
      <c r="BX33" s="161"/>
      <c r="BY33" s="106"/>
      <c r="BZ33" s="201"/>
      <c r="CA33" s="201"/>
      <c r="CB33" s="99"/>
    </row>
    <row r="34" spans="1:81" ht="13.5" customHeight="1" x14ac:dyDescent="0.4">
      <c r="A34" s="159"/>
      <c r="B34" s="159"/>
      <c r="C34" s="159"/>
      <c r="D34" s="159"/>
      <c r="E34" s="159"/>
      <c r="F34" s="159"/>
      <c r="G34" s="229" t="s">
        <v>105</v>
      </c>
      <c r="H34" s="229"/>
      <c r="I34" s="229"/>
      <c r="J34" s="22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 t="s">
        <v>145</v>
      </c>
      <c r="AU34" s="159"/>
      <c r="AV34" s="159"/>
      <c r="AW34" s="159"/>
      <c r="AX34" s="159"/>
      <c r="AY34" s="159"/>
      <c r="AZ34" s="159" t="str">
        <f>R12&amp;"×"&amp;C19&amp;"＝　"&amp;BZ34&amp;"ｍ2"</f>
        <v>2.5×0.9＝　2.25ｍ2</v>
      </c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60"/>
      <c r="BW34" s="160"/>
      <c r="BX34" s="161"/>
      <c r="BY34" s="106"/>
      <c r="BZ34" s="201">
        <f>ROUND(R12*C19,3)</f>
        <v>2.25</v>
      </c>
      <c r="CA34" s="201"/>
      <c r="CB34" s="99"/>
    </row>
    <row r="35" spans="1:81" ht="13.5" customHeight="1" x14ac:dyDescent="0.4">
      <c r="A35" s="159"/>
      <c r="B35" s="159"/>
      <c r="C35" s="159"/>
      <c r="D35" s="159"/>
      <c r="E35" s="159"/>
      <c r="F35" s="159"/>
      <c r="G35" s="159"/>
      <c r="H35" s="159"/>
      <c r="I35" s="143"/>
      <c r="J35" s="159"/>
      <c r="K35" s="159"/>
      <c r="L35" s="159"/>
      <c r="M35" s="159"/>
      <c r="N35" s="159"/>
      <c r="O35" s="159"/>
      <c r="P35" s="159"/>
      <c r="Q35" s="163" t="s">
        <v>116</v>
      </c>
      <c r="R35" s="235">
        <f>R12</f>
        <v>2.5</v>
      </c>
      <c r="S35" s="235"/>
      <c r="T35" s="235"/>
      <c r="U35" s="255" t="s">
        <v>108</v>
      </c>
      <c r="V35" s="255"/>
      <c r="W35" s="255"/>
      <c r="X35" s="159"/>
      <c r="Y35" s="159"/>
      <c r="Z35" s="159"/>
      <c r="AA35" s="159"/>
      <c r="AB35" s="159"/>
      <c r="AC35" s="229">
        <f>AC12</f>
        <v>2.5</v>
      </c>
      <c r="AD35" s="229"/>
      <c r="AE35" s="159" t="s">
        <v>108</v>
      </c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 t="s">
        <v>146</v>
      </c>
      <c r="AU35" s="159"/>
      <c r="AV35" s="159"/>
      <c r="AW35" s="159"/>
      <c r="AX35" s="159"/>
      <c r="AY35" s="159"/>
      <c r="AZ35" s="159" t="str">
        <f>R12&amp;"×"&amp;C19&amp;"＝　"&amp;BZ34&amp;"ｍ2"</f>
        <v>2.5×0.9＝　2.25ｍ2</v>
      </c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60"/>
      <c r="BW35" s="160"/>
      <c r="BX35" s="161"/>
      <c r="BY35" s="106"/>
      <c r="BZ35" s="201">
        <f>ROUND(R12*C19,3)</f>
        <v>2.25</v>
      </c>
      <c r="CA35" s="201"/>
      <c r="CB35" s="99"/>
    </row>
    <row r="36" spans="1:81" ht="13.5" customHeight="1" x14ac:dyDescent="0.4">
      <c r="A36" s="159"/>
      <c r="B36" s="159"/>
      <c r="C36" s="159"/>
      <c r="D36" s="160"/>
      <c r="E36" s="159"/>
      <c r="F36" s="229" t="s">
        <v>117</v>
      </c>
      <c r="G36" s="229"/>
      <c r="H36" s="229"/>
      <c r="I36" s="143"/>
      <c r="J36" s="159"/>
      <c r="K36" s="159"/>
      <c r="L36" s="101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03"/>
      <c r="AA36" s="159"/>
      <c r="AB36" s="159"/>
      <c r="AC36" s="159"/>
      <c r="AD36" s="159"/>
      <c r="AE36" s="159"/>
      <c r="AF36" s="103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 t="s">
        <v>147</v>
      </c>
      <c r="AU36" s="159"/>
      <c r="AV36" s="159"/>
      <c r="AW36" s="159"/>
      <c r="AX36" s="159"/>
      <c r="AY36" s="159"/>
      <c r="AZ36" s="159" t="str">
        <f>R12&amp;"×"&amp;C19&amp;"＝　"&amp;BZ34&amp;"ｍ2"</f>
        <v>2.5×0.9＝　2.25ｍ2</v>
      </c>
      <c r="BA36" s="159"/>
      <c r="BB36" s="159"/>
      <c r="BC36" s="159"/>
      <c r="BD36" s="159"/>
      <c r="BE36" s="159"/>
      <c r="BF36" s="159"/>
      <c r="BG36" s="159"/>
      <c r="BH36" s="160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60"/>
      <c r="BW36" s="160"/>
      <c r="BX36" s="161"/>
      <c r="BY36" s="99"/>
      <c r="BZ36" s="201">
        <f>ROUND(R12*C19,3)</f>
        <v>2.25</v>
      </c>
      <c r="CA36" s="201"/>
      <c r="CB36" s="99"/>
      <c r="CC36" s="99" t="str">
        <f>IF(BZ36&lt;=6.63,"（再生密粒度アスコン13F　　　0.5 ｔ ）","")</f>
        <v>（再生密粒度アスコン13F　　　0.5 ｔ ）</v>
      </c>
    </row>
    <row r="37" spans="1:81" ht="13.5" customHeight="1" x14ac:dyDescent="0.4">
      <c r="A37" s="159"/>
      <c r="B37" s="164"/>
      <c r="C37" s="164"/>
      <c r="D37" s="160"/>
      <c r="E37" s="164"/>
      <c r="F37" s="229">
        <f>F14</f>
        <v>0.5</v>
      </c>
      <c r="G37" s="229"/>
      <c r="H37" s="272"/>
      <c r="I37" s="273">
        <f>I14</f>
        <v>0.5</v>
      </c>
      <c r="J37" s="229"/>
      <c r="K37" s="229"/>
      <c r="L37" s="144"/>
      <c r="M37" s="164"/>
      <c r="N37" s="274">
        <f>R35-T37</f>
        <v>1.5</v>
      </c>
      <c r="O37" s="229"/>
      <c r="P37" s="229"/>
      <c r="Q37" s="164"/>
      <c r="R37" s="164"/>
      <c r="S37" s="164"/>
      <c r="T37" s="451">
        <v>1</v>
      </c>
      <c r="U37" s="451"/>
      <c r="V37" s="451"/>
      <c r="W37" s="451"/>
      <c r="X37" s="451"/>
      <c r="Y37" s="451"/>
      <c r="Z37" s="110"/>
      <c r="AA37" s="164"/>
      <c r="AB37" s="164"/>
      <c r="AC37" s="164"/>
      <c r="AD37" s="164"/>
      <c r="AE37" s="164"/>
      <c r="AF37" s="110"/>
      <c r="AG37" s="164"/>
      <c r="AH37" s="164"/>
      <c r="AI37" s="164"/>
      <c r="AJ37" s="164"/>
      <c r="AK37" s="164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60"/>
      <c r="BW37" s="160"/>
      <c r="BX37" s="161"/>
      <c r="BY37" s="99"/>
      <c r="BZ37" s="201"/>
      <c r="CA37" s="201"/>
      <c r="CB37" s="99"/>
    </row>
    <row r="38" spans="1:81" ht="13.5" customHeight="1" x14ac:dyDescent="0.35">
      <c r="A38" s="159"/>
      <c r="B38" s="159"/>
      <c r="C38" s="159"/>
      <c r="D38" s="159"/>
      <c r="E38" s="159"/>
      <c r="F38" s="101"/>
      <c r="G38" s="159"/>
      <c r="H38" s="159"/>
      <c r="I38" s="107"/>
      <c r="J38" s="159"/>
      <c r="K38" s="159"/>
      <c r="L38" s="101"/>
      <c r="M38" s="159"/>
      <c r="N38" s="159"/>
      <c r="O38" s="159"/>
      <c r="P38" s="159"/>
      <c r="Q38" s="159"/>
      <c r="R38" s="103"/>
      <c r="S38" s="159"/>
      <c r="T38" s="159"/>
      <c r="U38" s="159"/>
      <c r="V38" s="159"/>
      <c r="W38" s="159"/>
      <c r="X38" s="159"/>
      <c r="Y38" s="159"/>
      <c r="Z38" s="103"/>
      <c r="AA38" s="159"/>
      <c r="AB38" s="159"/>
      <c r="AC38" s="159"/>
      <c r="AD38" s="159"/>
      <c r="AE38" s="159"/>
      <c r="AF38" s="159"/>
      <c r="AG38" s="171" t="s">
        <v>148</v>
      </c>
      <c r="AH38" s="269">
        <f>L64</f>
        <v>45</v>
      </c>
      <c r="AI38" s="269"/>
      <c r="AJ38" s="172" t="s">
        <v>149</v>
      </c>
      <c r="AK38" s="159"/>
      <c r="AL38" s="159"/>
      <c r="AM38" s="159"/>
      <c r="AN38" s="159"/>
      <c r="AO38" s="159"/>
      <c r="AP38" s="159"/>
      <c r="AQ38" s="159"/>
      <c r="AR38" s="159"/>
      <c r="AS38" s="159" t="s">
        <v>150</v>
      </c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60"/>
      <c r="BW38" s="160"/>
      <c r="BX38" s="161"/>
      <c r="BY38" s="106"/>
      <c r="BZ38" s="201"/>
      <c r="CA38" s="201"/>
      <c r="CB38" s="99"/>
    </row>
    <row r="39" spans="1:81" ht="13.5" customHeight="1" x14ac:dyDescent="0.4">
      <c r="A39" s="159"/>
      <c r="B39" s="159"/>
      <c r="C39" s="159"/>
      <c r="D39" s="159"/>
      <c r="E39" s="159"/>
      <c r="F39" s="159"/>
      <c r="G39" s="159"/>
      <c r="H39" s="159"/>
      <c r="I39" s="107"/>
      <c r="J39" s="159"/>
      <c r="K39" s="159"/>
      <c r="L39" s="159"/>
      <c r="M39" s="159"/>
      <c r="N39" s="159"/>
      <c r="O39" s="159"/>
      <c r="P39" s="163" t="s">
        <v>151</v>
      </c>
      <c r="Q39" s="197">
        <v>5</v>
      </c>
      <c r="R39" s="159" t="s">
        <v>149</v>
      </c>
      <c r="S39" s="163" t="s">
        <v>152</v>
      </c>
      <c r="T39" s="270" t="str">
        <f>IF(D62="アスファルト","Ａｓ","Ｃｏ")</f>
        <v>Ａｓ</v>
      </c>
      <c r="U39" s="270"/>
      <c r="V39" s="270"/>
      <c r="W39" s="271" t="s">
        <v>153</v>
      </c>
      <c r="X39" s="271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 t="s">
        <v>154</v>
      </c>
      <c r="AU39" s="159"/>
      <c r="AV39" s="159"/>
      <c r="AW39" s="159"/>
      <c r="AX39" s="159"/>
      <c r="AY39" s="159" t="s">
        <v>121</v>
      </c>
      <c r="AZ39" s="159" t="str">
        <f>"Ｈ＝"&amp;C105&amp;"　　Ｌ＝　"&amp;IF(R44&gt;=1.5,N37,"－－")&amp;"　ｍ"</f>
        <v>Ｈ＝１．５ｍ以下　　Ｌ＝　1.5　ｍ</v>
      </c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452" t="s">
        <v>279</v>
      </c>
      <c r="BL39" s="452"/>
      <c r="BM39" s="159"/>
      <c r="BN39" s="159"/>
      <c r="BO39" s="159"/>
      <c r="BP39" s="159"/>
      <c r="BQ39" s="159"/>
      <c r="BR39" s="159"/>
      <c r="BS39" s="159"/>
      <c r="BT39" s="159"/>
      <c r="BU39" s="159"/>
      <c r="BV39" s="160"/>
      <c r="BW39" s="160"/>
      <c r="BX39" s="161"/>
      <c r="BY39" s="106"/>
      <c r="BZ39" s="201">
        <f>IF(R44&gt;=1.5,N37,0)</f>
        <v>1.5</v>
      </c>
      <c r="CA39" s="201"/>
      <c r="CB39" s="99"/>
    </row>
    <row r="40" spans="1:81" ht="6.75" customHeight="1" x14ac:dyDescent="0.4">
      <c r="A40" s="159"/>
      <c r="B40" s="159"/>
      <c r="C40" s="145"/>
      <c r="D40" s="145"/>
      <c r="E40" s="97"/>
      <c r="F40" s="96"/>
      <c r="G40" s="97"/>
      <c r="H40" s="97"/>
      <c r="I40" s="146"/>
      <c r="J40" s="259" t="s">
        <v>114</v>
      </c>
      <c r="K40" s="260"/>
      <c r="L40" s="127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8"/>
      <c r="AA40" s="147"/>
      <c r="AB40" s="148"/>
      <c r="AC40" s="148"/>
      <c r="AD40" s="148"/>
      <c r="AE40" s="148"/>
      <c r="AF40" s="149"/>
      <c r="AG40" s="265" t="s">
        <v>114</v>
      </c>
      <c r="AH40" s="260"/>
      <c r="AI40" s="150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255" t="s">
        <v>122</v>
      </c>
      <c r="AZ40" s="255" t="str">
        <f>"Ｈ＝"&amp;I105&amp;"　　Ｌ＝　"&amp;IF(AD45&gt;=1.5,T37,"－－")&amp;"　ｍ"</f>
        <v>Ｈ＝２．５ｍ以下　　Ｌ＝　1　ｍ</v>
      </c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60"/>
      <c r="BW40" s="160"/>
      <c r="BX40" s="161"/>
      <c r="BY40" s="161"/>
      <c r="BZ40" s="201">
        <f>IF(AD45&gt;=1.5,T37,0)</f>
        <v>1</v>
      </c>
      <c r="CA40" s="201"/>
      <c r="CB40" s="99"/>
    </row>
    <row r="41" spans="1:81" ht="6.75" customHeight="1" x14ac:dyDescent="0.4">
      <c r="A41" s="159"/>
      <c r="B41" s="159"/>
      <c r="C41" s="164"/>
      <c r="D41" s="164"/>
      <c r="E41" s="159"/>
      <c r="F41" s="101"/>
      <c r="G41" s="159"/>
      <c r="H41" s="159"/>
      <c r="I41" s="151"/>
      <c r="J41" s="261"/>
      <c r="K41" s="262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03"/>
      <c r="AA41" s="159"/>
      <c r="AB41" s="159"/>
      <c r="AC41" s="159"/>
      <c r="AD41" s="159"/>
      <c r="AE41" s="159"/>
      <c r="AF41" s="159"/>
      <c r="AG41" s="266"/>
      <c r="AH41" s="262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60"/>
      <c r="BW41" s="160"/>
      <c r="BX41" s="161"/>
      <c r="BY41" s="159"/>
      <c r="BZ41" s="201"/>
      <c r="CA41" s="201"/>
      <c r="CB41" s="99"/>
    </row>
    <row r="42" spans="1:81" ht="13.5" customHeight="1" x14ac:dyDescent="0.4">
      <c r="A42" s="159"/>
      <c r="B42" s="159"/>
      <c r="C42" s="164"/>
      <c r="D42" s="164"/>
      <c r="E42" s="159"/>
      <c r="F42" s="101"/>
      <c r="G42" s="159"/>
      <c r="H42" s="159"/>
      <c r="I42" s="268">
        <v>0.6</v>
      </c>
      <c r="J42" s="261"/>
      <c r="K42" s="262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03"/>
      <c r="AA42" s="159"/>
      <c r="AB42" s="159"/>
      <c r="AC42" s="159"/>
      <c r="AD42" s="159"/>
      <c r="AE42" s="159"/>
      <c r="AF42" s="159"/>
      <c r="AG42" s="266"/>
      <c r="AH42" s="262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 t="s">
        <v>156</v>
      </c>
      <c r="AU42" s="159"/>
      <c r="AV42" s="159"/>
      <c r="AW42" s="159"/>
      <c r="AX42" s="159"/>
      <c r="AY42" s="159"/>
      <c r="AZ42" s="275">
        <v>1</v>
      </c>
      <c r="BA42" s="275"/>
      <c r="BB42" s="159" t="s">
        <v>157</v>
      </c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60"/>
      <c r="BW42" s="160"/>
      <c r="BX42" s="161"/>
      <c r="BY42" s="159"/>
      <c r="BZ42" s="201"/>
      <c r="CA42" s="201"/>
      <c r="CB42" s="99"/>
    </row>
    <row r="43" spans="1:81" ht="13.5" customHeight="1" x14ac:dyDescent="0.4">
      <c r="A43" s="159"/>
      <c r="B43" s="159"/>
      <c r="C43" s="256">
        <f>D43+D49</f>
        <v>1.3</v>
      </c>
      <c r="D43" s="257">
        <v>1.2</v>
      </c>
      <c r="E43" s="159"/>
      <c r="F43" s="101"/>
      <c r="G43" s="159"/>
      <c r="H43" s="159"/>
      <c r="I43" s="268"/>
      <c r="J43" s="261"/>
      <c r="K43" s="262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03"/>
      <c r="AA43" s="159"/>
      <c r="AB43" s="159"/>
      <c r="AC43" s="159"/>
      <c r="AD43" s="159"/>
      <c r="AE43" s="159"/>
      <c r="AF43" s="159"/>
      <c r="AG43" s="266"/>
      <c r="AH43" s="262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60"/>
      <c r="BW43" s="160"/>
      <c r="BX43" s="161"/>
      <c r="BY43" s="159"/>
      <c r="BZ43" s="201"/>
      <c r="CA43" s="201"/>
      <c r="CB43" s="99"/>
    </row>
    <row r="44" spans="1:81" ht="13.5" customHeight="1" thickBot="1" x14ac:dyDescent="0.45">
      <c r="A44" s="159"/>
      <c r="B44" s="159"/>
      <c r="C44" s="256"/>
      <c r="D44" s="257"/>
      <c r="E44" s="159"/>
      <c r="F44" s="101"/>
      <c r="G44" s="165" t="s">
        <v>120</v>
      </c>
      <c r="H44" s="159"/>
      <c r="I44" s="152"/>
      <c r="J44" s="263"/>
      <c r="K44" s="264"/>
      <c r="L44" s="159"/>
      <c r="M44" s="246">
        <f>ROUND(R44-((N37*(R44-C43))/(N37+I37+G50)),2)</f>
        <v>1.37</v>
      </c>
      <c r="N44" s="159"/>
      <c r="O44" s="165" t="s">
        <v>121</v>
      </c>
      <c r="P44" s="159"/>
      <c r="Q44" s="159"/>
      <c r="R44" s="257">
        <v>1.5</v>
      </c>
      <c r="S44" s="159"/>
      <c r="T44" s="159"/>
      <c r="U44" s="258" t="s">
        <v>122</v>
      </c>
      <c r="V44" s="258"/>
      <c r="W44" s="258"/>
      <c r="X44" s="258"/>
      <c r="Y44" s="159"/>
      <c r="Z44" s="103"/>
      <c r="AA44" s="159"/>
      <c r="AB44" s="257">
        <v>2.1</v>
      </c>
      <c r="AC44" s="159"/>
      <c r="AD44" s="159"/>
      <c r="AE44" s="159"/>
      <c r="AF44" s="159"/>
      <c r="AG44" s="267"/>
      <c r="AH44" s="264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60"/>
      <c r="BW44" s="160"/>
      <c r="BX44" s="161"/>
      <c r="BY44" s="159"/>
      <c r="BZ44" s="201"/>
      <c r="CA44" s="201"/>
      <c r="CB44" s="99"/>
    </row>
    <row r="45" spans="1:81" ht="13.5" customHeight="1" x14ac:dyDescent="0.4">
      <c r="A45" s="159"/>
      <c r="B45" s="159"/>
      <c r="C45" s="241" t="s">
        <v>158</v>
      </c>
      <c r="D45" s="241" t="s">
        <v>159</v>
      </c>
      <c r="E45" s="159"/>
      <c r="F45" s="101"/>
      <c r="G45" s="159"/>
      <c r="H45" s="159"/>
      <c r="I45" s="107"/>
      <c r="J45" s="159"/>
      <c r="K45" s="103"/>
      <c r="L45" s="159"/>
      <c r="M45" s="246"/>
      <c r="N45" s="159"/>
      <c r="O45" s="159"/>
      <c r="P45" s="159"/>
      <c r="Q45" s="159"/>
      <c r="R45" s="257"/>
      <c r="S45" s="159"/>
      <c r="T45" s="159"/>
      <c r="U45" s="159"/>
      <c r="V45" s="159"/>
      <c r="W45" s="159"/>
      <c r="X45" s="159"/>
      <c r="Y45" s="159"/>
      <c r="Z45" s="103"/>
      <c r="AA45" s="159"/>
      <c r="AB45" s="257"/>
      <c r="AC45" s="159"/>
      <c r="AD45" s="250">
        <f>AB44+AB51+AB54</f>
        <v>2.4700000000000002</v>
      </c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BL45" s="100" t="s">
        <v>273</v>
      </c>
      <c r="BN45" s="453"/>
      <c r="BO45" s="100" t="s">
        <v>274</v>
      </c>
      <c r="BP45" s="453"/>
      <c r="BQ45" s="100" t="s">
        <v>275</v>
      </c>
      <c r="BR45" s="453"/>
      <c r="BS45" s="100" t="s">
        <v>276</v>
      </c>
      <c r="BV45" s="159"/>
      <c r="BW45" s="159"/>
      <c r="BX45" s="161"/>
      <c r="BY45" s="161"/>
      <c r="BZ45" s="201"/>
      <c r="CA45" s="201"/>
      <c r="CB45" s="99"/>
    </row>
    <row r="46" spans="1:81" ht="13.5" customHeight="1" x14ac:dyDescent="0.35">
      <c r="A46" s="159"/>
      <c r="B46" s="159"/>
      <c r="C46" s="241"/>
      <c r="D46" s="241"/>
      <c r="E46" s="159"/>
      <c r="F46" s="101"/>
      <c r="G46" s="159"/>
      <c r="H46" s="159"/>
      <c r="I46" s="107"/>
      <c r="J46" s="159"/>
      <c r="K46" s="103"/>
      <c r="L46" s="159"/>
      <c r="M46" s="159"/>
      <c r="N46" s="159"/>
      <c r="O46" s="252"/>
      <c r="P46" s="252"/>
      <c r="Q46" s="172"/>
      <c r="R46" s="159"/>
      <c r="S46" s="159"/>
      <c r="T46" s="159"/>
      <c r="U46" s="159"/>
      <c r="V46" s="159"/>
      <c r="W46" s="159"/>
      <c r="X46" s="159"/>
      <c r="Y46" s="159"/>
      <c r="Z46" s="103"/>
      <c r="AA46" s="159"/>
      <c r="AB46" s="241" t="s">
        <v>160</v>
      </c>
      <c r="AC46" s="159"/>
      <c r="AD46" s="251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BU46" s="159"/>
      <c r="BV46" s="159"/>
      <c r="BW46" s="159"/>
      <c r="BX46" s="161"/>
      <c r="BY46" s="161"/>
      <c r="BZ46" s="201">
        <f>VLOOKUP($AF$95,$AA$98:$AU$103,7)</f>
        <v>0</v>
      </c>
      <c r="CA46" s="201"/>
      <c r="CB46" s="99"/>
    </row>
    <row r="47" spans="1:81" ht="13.5" customHeight="1" x14ac:dyDescent="0.4">
      <c r="A47" s="159"/>
      <c r="B47" s="159"/>
      <c r="C47" s="241"/>
      <c r="D47" s="241"/>
      <c r="E47" s="159"/>
      <c r="F47" s="101"/>
      <c r="G47" s="159"/>
      <c r="H47" s="159"/>
      <c r="I47" s="107"/>
      <c r="J47" s="159"/>
      <c r="K47" s="103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03"/>
      <c r="AA47" s="159"/>
      <c r="AB47" s="241"/>
      <c r="AC47" s="159"/>
      <c r="AD47" s="251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R47" s="183" t="s">
        <v>272</v>
      </c>
      <c r="BK47" s="188"/>
      <c r="BL47" s="189"/>
      <c r="BM47" s="254"/>
      <c r="BN47" s="254"/>
      <c r="BO47" s="254"/>
      <c r="BP47" s="254"/>
      <c r="BQ47" s="254"/>
      <c r="BR47" s="254"/>
      <c r="BS47" s="254"/>
      <c r="BT47" s="254"/>
      <c r="BU47" s="189"/>
      <c r="BV47" s="189"/>
      <c r="BW47" s="189"/>
      <c r="BX47" s="161"/>
      <c r="BY47" s="161"/>
      <c r="BZ47" s="201">
        <f>VLOOKUP($AF$95,$AA$98:$AU$103,9)</f>
        <v>0</v>
      </c>
      <c r="CA47" s="201"/>
      <c r="CB47" s="99"/>
    </row>
    <row r="48" spans="1:81" ht="13.5" customHeight="1" x14ac:dyDescent="0.4">
      <c r="A48" s="159"/>
      <c r="B48" s="159"/>
      <c r="C48" s="241"/>
      <c r="D48" s="253"/>
      <c r="E48" s="97"/>
      <c r="F48" s="153"/>
      <c r="G48" s="134"/>
      <c r="H48" s="134"/>
      <c r="I48" s="107"/>
      <c r="J48" s="159"/>
      <c r="K48" s="103"/>
      <c r="L48" s="159"/>
      <c r="M48" s="159"/>
      <c r="N48" s="159"/>
      <c r="O48" s="159"/>
      <c r="P48" s="159"/>
      <c r="Q48" s="159"/>
      <c r="R48" s="159"/>
      <c r="S48" s="159"/>
      <c r="T48" s="255">
        <f>O55</f>
        <v>1.05</v>
      </c>
      <c r="U48" s="255"/>
      <c r="V48" s="255"/>
      <c r="W48" s="255"/>
      <c r="X48" s="255"/>
      <c r="Y48" s="159"/>
      <c r="Z48" s="103"/>
      <c r="AA48" s="159"/>
      <c r="AB48" s="241"/>
      <c r="AC48" s="159"/>
      <c r="AD48" s="241" t="s">
        <v>158</v>
      </c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T48" s="187"/>
      <c r="AU48" s="187"/>
      <c r="AV48" s="187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4"/>
      <c r="BJ48" s="184"/>
      <c r="BK48" s="184"/>
      <c r="BP48" s="164"/>
      <c r="BQ48" s="159"/>
      <c r="BR48" s="159"/>
      <c r="BS48" s="159"/>
      <c r="BT48" s="159"/>
      <c r="BU48" s="159"/>
      <c r="BV48" s="159"/>
      <c r="BW48" s="159"/>
      <c r="BX48" s="161"/>
      <c r="BY48" s="161"/>
      <c r="BZ48" s="201"/>
      <c r="CA48" s="201"/>
      <c r="CB48" s="99"/>
    </row>
    <row r="49" spans="1:80" ht="13.5" customHeight="1" x14ac:dyDescent="0.4">
      <c r="A49" s="159"/>
      <c r="B49" s="159"/>
      <c r="C49" s="164"/>
      <c r="D49" s="242">
        <v>0.1</v>
      </c>
      <c r="E49" s="159"/>
      <c r="F49" s="159"/>
      <c r="G49" s="159"/>
      <c r="H49" s="159"/>
      <c r="I49" s="107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03"/>
      <c r="AA49" s="159"/>
      <c r="AB49" s="241"/>
      <c r="AC49" s="159"/>
      <c r="AD49" s="241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BG49" s="186" t="s">
        <v>0</v>
      </c>
      <c r="BK49" s="454"/>
      <c r="BL49" s="454"/>
      <c r="BM49" s="454"/>
      <c r="BN49" s="454"/>
      <c r="BO49" s="454"/>
      <c r="BP49" s="454"/>
      <c r="BQ49" s="454"/>
      <c r="BR49" s="454"/>
      <c r="BS49" s="455"/>
      <c r="BT49" s="159"/>
      <c r="BU49" s="159"/>
      <c r="BV49" s="159"/>
      <c r="BW49" s="159"/>
      <c r="BX49" s="161"/>
      <c r="BY49" s="161"/>
      <c r="BZ49" s="201"/>
      <c r="CA49" s="201"/>
      <c r="CB49" s="99"/>
    </row>
    <row r="50" spans="1:80" ht="13.5" customHeight="1" x14ac:dyDescent="0.4">
      <c r="A50" s="159"/>
      <c r="B50" s="159"/>
      <c r="C50" s="164"/>
      <c r="D50" s="243"/>
      <c r="E50" s="159"/>
      <c r="F50" s="159"/>
      <c r="G50" s="244">
        <f>G24</f>
        <v>0.3</v>
      </c>
      <c r="H50" s="245"/>
      <c r="I50" s="107"/>
      <c r="J50" s="159"/>
      <c r="K50" s="458" t="s">
        <v>161</v>
      </c>
      <c r="L50" s="458"/>
      <c r="M50" s="458"/>
      <c r="N50" s="159"/>
      <c r="O50" s="159"/>
      <c r="P50" s="246">
        <f>ROUND(AD45-R44,2)</f>
        <v>0.97</v>
      </c>
      <c r="Q50" s="97"/>
      <c r="R50" s="103"/>
      <c r="S50" s="101"/>
      <c r="T50" s="159"/>
      <c r="U50" s="159"/>
      <c r="V50" s="159"/>
      <c r="W50" s="159"/>
      <c r="X50" s="159"/>
      <c r="Y50" s="159"/>
      <c r="Z50" s="98"/>
      <c r="AA50" s="159"/>
      <c r="AB50" s="253"/>
      <c r="AC50" s="159"/>
      <c r="AD50" s="241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BL50" s="183"/>
      <c r="BM50" s="183"/>
      <c r="BN50" s="183"/>
      <c r="BO50" s="183"/>
      <c r="BP50" s="159"/>
      <c r="BQ50" s="159"/>
      <c r="BR50" s="159"/>
      <c r="BS50" s="159"/>
      <c r="BT50" s="159"/>
      <c r="BU50" s="159"/>
      <c r="BV50" s="159"/>
      <c r="BW50" s="159"/>
      <c r="BX50" s="161"/>
      <c r="BY50" s="161"/>
      <c r="BZ50" s="201">
        <f>VLOOKUP($AF$95,$AA$98:$AU$103,13)</f>
        <v>0</v>
      </c>
      <c r="CA50" s="201"/>
      <c r="CB50" s="99"/>
    </row>
    <row r="51" spans="1:80" ht="13.5" customHeight="1" x14ac:dyDescent="0.4">
      <c r="A51" s="159"/>
      <c r="B51" s="159"/>
      <c r="C51" s="159"/>
      <c r="D51" s="159"/>
      <c r="E51" s="159"/>
      <c r="F51" s="159"/>
      <c r="G51" s="101"/>
      <c r="H51" s="108"/>
      <c r="I51" s="159"/>
      <c r="J51" s="159"/>
      <c r="K51" s="159"/>
      <c r="L51" s="159"/>
      <c r="M51" s="159"/>
      <c r="N51" s="159"/>
      <c r="O51" s="159"/>
      <c r="P51" s="246"/>
      <c r="Q51" s="159"/>
      <c r="R51" s="159"/>
      <c r="S51" s="101"/>
      <c r="T51" s="159"/>
      <c r="U51" s="159"/>
      <c r="V51" s="159"/>
      <c r="W51" s="159"/>
      <c r="X51" s="159"/>
      <c r="Y51" s="243">
        <f>AB51+AB54+0.1</f>
        <v>0.47</v>
      </c>
      <c r="Z51" s="247"/>
      <c r="AA51" s="159"/>
      <c r="AB51" s="248">
        <f>AE68</f>
        <v>0.27</v>
      </c>
      <c r="AC51" s="159"/>
      <c r="AD51" s="241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BL51" s="183"/>
      <c r="BM51" s="183"/>
      <c r="BN51" s="183"/>
      <c r="BO51" s="183"/>
      <c r="BP51" s="159"/>
      <c r="BQ51" s="159"/>
      <c r="BR51" s="159"/>
      <c r="BS51" s="159"/>
      <c r="BT51" s="159"/>
      <c r="BU51" s="159"/>
      <c r="BV51" s="159"/>
      <c r="BW51" s="159"/>
      <c r="BX51" s="161"/>
      <c r="BY51" s="161"/>
      <c r="BZ51" s="201">
        <f>VLOOKUP($AF$95,$AA$98:$AU$103,15)</f>
        <v>0</v>
      </c>
      <c r="CA51" s="201"/>
      <c r="CB51" s="99"/>
    </row>
    <row r="52" spans="1:80" ht="13.5" customHeight="1" x14ac:dyDescent="0.4">
      <c r="A52" s="159"/>
      <c r="B52" s="159"/>
      <c r="C52" s="159"/>
      <c r="D52" s="159"/>
      <c r="E52" s="159"/>
      <c r="F52" s="159"/>
      <c r="G52" s="101"/>
      <c r="H52" s="159"/>
      <c r="I52" s="159"/>
      <c r="J52" s="159"/>
      <c r="K52" s="159"/>
      <c r="L52" s="159"/>
      <c r="M52" s="159"/>
      <c r="N52" s="159"/>
      <c r="O52" s="159"/>
      <c r="P52" s="246"/>
      <c r="Q52" s="159"/>
      <c r="R52" s="159"/>
      <c r="S52" s="101"/>
      <c r="T52" s="159"/>
      <c r="U52" s="159"/>
      <c r="V52" s="159"/>
      <c r="W52" s="159"/>
      <c r="X52" s="159"/>
      <c r="Y52" s="243"/>
      <c r="Z52" s="247"/>
      <c r="AA52" s="159"/>
      <c r="AB52" s="24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S52" s="239" t="s">
        <v>1</v>
      </c>
      <c r="AT52" s="239"/>
      <c r="AU52" s="239"/>
      <c r="AV52" s="239"/>
      <c r="AW52" s="456"/>
      <c r="AX52" s="456"/>
      <c r="AY52" s="456"/>
      <c r="AZ52" s="456"/>
      <c r="BA52" s="456"/>
      <c r="BB52" s="456"/>
      <c r="BC52" s="456"/>
      <c r="BD52" s="456"/>
      <c r="BE52" s="456"/>
      <c r="BF52" s="456"/>
      <c r="BG52" s="456"/>
      <c r="BH52" s="456"/>
      <c r="BI52" s="457"/>
      <c r="BJ52" s="457"/>
      <c r="BK52" s="457"/>
      <c r="BL52" s="183"/>
      <c r="BM52" s="183"/>
      <c r="BN52" s="183"/>
      <c r="BO52" s="183"/>
      <c r="BP52" s="159"/>
      <c r="BQ52" s="159"/>
      <c r="BR52" s="159"/>
      <c r="BS52" s="159"/>
      <c r="BT52" s="159"/>
      <c r="BU52" s="159"/>
      <c r="BV52" s="159"/>
      <c r="BW52" s="159"/>
      <c r="BX52" s="161"/>
      <c r="BY52" s="161"/>
      <c r="BZ52" s="201">
        <f>VLOOKUP($AF$95,$AA$98:$AU$103,17)</f>
        <v>0</v>
      </c>
      <c r="CA52" s="201"/>
      <c r="CB52" s="99"/>
    </row>
    <row r="53" spans="1:80" ht="13.5" customHeight="1" x14ac:dyDescent="0.4">
      <c r="A53" s="159"/>
      <c r="B53" s="159"/>
      <c r="C53" s="159"/>
      <c r="D53" s="159"/>
      <c r="E53" s="159"/>
      <c r="F53" s="159"/>
      <c r="G53" s="101"/>
      <c r="H53" s="159"/>
      <c r="I53" s="159"/>
      <c r="J53" s="159"/>
      <c r="K53" s="159"/>
      <c r="L53" s="159"/>
      <c r="M53" s="159"/>
      <c r="N53" s="159"/>
      <c r="O53" s="159"/>
      <c r="P53" s="246"/>
      <c r="Q53" s="134"/>
      <c r="R53" s="159"/>
      <c r="S53" s="135"/>
      <c r="T53" s="134"/>
      <c r="U53" s="134"/>
      <c r="V53" s="142"/>
      <c r="W53" s="134"/>
      <c r="X53" s="134"/>
      <c r="Y53" s="134"/>
      <c r="Z53" s="142"/>
      <c r="AA53" s="159"/>
      <c r="AB53" s="134"/>
      <c r="AC53" s="134"/>
      <c r="AD53" s="134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239" t="s">
        <v>2</v>
      </c>
      <c r="AT53" s="240"/>
      <c r="AU53" s="240"/>
      <c r="AV53" s="240"/>
      <c r="AW53" s="456"/>
      <c r="AX53" s="456"/>
      <c r="AY53" s="456"/>
      <c r="AZ53" s="456"/>
      <c r="BA53" s="456"/>
      <c r="BB53" s="456"/>
      <c r="BC53" s="456"/>
      <c r="BD53" s="456"/>
      <c r="BE53" s="456"/>
      <c r="BF53" s="456"/>
      <c r="BG53" s="456"/>
      <c r="BH53" s="456"/>
      <c r="BI53" s="457"/>
      <c r="BJ53" s="457"/>
      <c r="BK53" s="457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64"/>
      <c r="BX53" s="161"/>
      <c r="BY53" s="161"/>
      <c r="BZ53" s="201">
        <f>VLOOKUP($AF$95,$AA$98:$AU$103,19)</f>
        <v>0</v>
      </c>
      <c r="CA53" s="201"/>
      <c r="CB53" s="99"/>
    </row>
    <row r="54" spans="1:80" ht="13.5" customHeight="1" x14ac:dyDescent="0.4">
      <c r="A54" s="159"/>
      <c r="B54" s="159"/>
      <c r="C54" s="159"/>
      <c r="D54" s="159"/>
      <c r="E54" s="159"/>
      <c r="F54" s="159"/>
      <c r="G54" s="101"/>
      <c r="H54" s="159"/>
      <c r="I54" s="159"/>
      <c r="J54" s="159"/>
      <c r="K54" s="160"/>
      <c r="L54" s="160"/>
      <c r="M54" s="159"/>
      <c r="N54" s="159"/>
      <c r="O54" s="159"/>
      <c r="P54" s="159"/>
      <c r="Q54" s="159"/>
      <c r="R54" s="159"/>
      <c r="S54" s="159"/>
      <c r="T54" s="159"/>
      <c r="U54" s="159"/>
      <c r="V54" s="103"/>
      <c r="W54" s="159"/>
      <c r="X54" s="159"/>
      <c r="Y54" s="159"/>
      <c r="Z54" s="159"/>
      <c r="AA54" s="159"/>
      <c r="AB54" s="231">
        <v>0.1</v>
      </c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240"/>
      <c r="AT54" s="240"/>
      <c r="AU54" s="240"/>
      <c r="AV54" s="240"/>
      <c r="AW54" s="457"/>
      <c r="AX54" s="457"/>
      <c r="AY54" s="457"/>
      <c r="AZ54" s="457"/>
      <c r="BA54" s="457"/>
      <c r="BB54" s="457"/>
      <c r="BC54" s="457"/>
      <c r="BD54" s="457"/>
      <c r="BE54" s="457"/>
      <c r="BF54" s="457"/>
      <c r="BG54" s="457"/>
      <c r="BH54" s="457"/>
      <c r="BI54" s="457"/>
      <c r="BJ54" s="457"/>
      <c r="BK54" s="457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229"/>
      <c r="BX54" s="161"/>
      <c r="BY54" s="159"/>
      <c r="BZ54" s="201">
        <f>VLOOKUP($AF$95,$AA$98:$AU$103,21)</f>
        <v>0</v>
      </c>
      <c r="CA54" s="201"/>
      <c r="CB54" s="99"/>
    </row>
    <row r="55" spans="1:80" ht="13.5" customHeight="1" x14ac:dyDescent="0.4">
      <c r="A55" s="159"/>
      <c r="B55" s="159"/>
      <c r="C55" s="159"/>
      <c r="D55" s="159"/>
      <c r="E55" s="159"/>
      <c r="F55" s="159"/>
      <c r="G55" s="101"/>
      <c r="H55" s="159"/>
      <c r="I55" s="159"/>
      <c r="J55" s="160"/>
      <c r="K55" s="173" t="s">
        <v>162</v>
      </c>
      <c r="L55" s="233">
        <f>G50+I37+N37</f>
        <v>2.2999999999999998</v>
      </c>
      <c r="M55" s="234"/>
      <c r="N55" s="164" t="s">
        <v>163</v>
      </c>
      <c r="O55" s="229">
        <f>IF(R44=AD45,T37-W14,ROUND((T37-W14)/(SIN(ATAN((T37-W14)/(P50+0.185-AB54-AB51/2)))),2))</f>
        <v>1.05</v>
      </c>
      <c r="P55" s="229"/>
      <c r="Q55" s="160" t="s">
        <v>164</v>
      </c>
      <c r="R55" s="235">
        <f>L55+O55</f>
        <v>3.3499999999999996</v>
      </c>
      <c r="S55" s="235"/>
      <c r="T55" s="159" t="s">
        <v>108</v>
      </c>
      <c r="U55" s="159"/>
      <c r="V55" s="103"/>
      <c r="W55" s="159"/>
      <c r="X55" s="159"/>
      <c r="Y55" s="159"/>
      <c r="Z55" s="159"/>
      <c r="AA55" s="159"/>
      <c r="AB55" s="232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239" t="s">
        <v>3</v>
      </c>
      <c r="AT55" s="239"/>
      <c r="AU55" s="239"/>
      <c r="AV55" s="239"/>
      <c r="AW55" s="456"/>
      <c r="AX55" s="456"/>
      <c r="AY55" s="456"/>
      <c r="AZ55" s="456"/>
      <c r="BA55" s="456"/>
      <c r="BB55" s="456"/>
      <c r="BC55" s="456"/>
      <c r="BD55" s="456"/>
      <c r="BE55" s="456"/>
      <c r="BF55" s="456"/>
      <c r="BG55" s="456"/>
      <c r="BH55" s="456"/>
      <c r="BI55" s="456"/>
      <c r="BJ55" s="456"/>
      <c r="BK55" s="456"/>
      <c r="BP55" s="159"/>
      <c r="BQ55" s="159"/>
      <c r="BR55" s="159"/>
      <c r="BS55" s="159"/>
      <c r="BT55" s="159"/>
      <c r="BU55" s="159"/>
      <c r="BV55" s="159"/>
      <c r="BW55" s="229"/>
      <c r="BX55" s="161"/>
      <c r="BY55" s="159"/>
      <c r="BZ55" s="201"/>
      <c r="CA55" s="201"/>
      <c r="CB55" s="99"/>
    </row>
    <row r="56" spans="1:80" ht="13.5" customHeight="1" x14ac:dyDescent="0.25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74" t="s">
        <v>123</v>
      </c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64"/>
      <c r="BX56" s="161"/>
      <c r="BY56" s="159"/>
      <c r="BZ56" s="201"/>
      <c r="CA56" s="201"/>
      <c r="CB56" s="99"/>
    </row>
    <row r="57" spans="1:80" ht="13.5" customHeight="1" x14ac:dyDescent="0.4">
      <c r="A57" s="159"/>
      <c r="B57" s="159"/>
      <c r="C57" s="159"/>
      <c r="D57" s="159"/>
      <c r="E57" s="159"/>
      <c r="F57" s="159"/>
      <c r="G57" s="159"/>
      <c r="H57" s="159"/>
      <c r="I57" s="159"/>
      <c r="J57" s="159"/>
      <c r="K57" s="160"/>
      <c r="L57" s="160"/>
      <c r="M57" s="160"/>
      <c r="N57" s="160"/>
      <c r="O57" s="160"/>
      <c r="P57" s="159"/>
      <c r="Q57" s="160"/>
      <c r="R57" s="160"/>
      <c r="S57" s="159"/>
      <c r="T57" s="159"/>
      <c r="U57" s="159"/>
      <c r="V57" s="159"/>
      <c r="W57" s="159"/>
      <c r="X57" s="159"/>
      <c r="Y57" s="159"/>
      <c r="Z57" s="159"/>
      <c r="AA57" s="175" t="str">
        <f>AB18</f>
        <v>φ２５０ＶＵ</v>
      </c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61"/>
      <c r="BY57" s="159"/>
      <c r="BZ57" s="201"/>
      <c r="CA57" s="201"/>
      <c r="CB57" s="99"/>
    </row>
    <row r="58" spans="1:80" ht="13.5" customHeight="1" x14ac:dyDescent="0.4">
      <c r="A58" s="159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76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U58" s="183" t="s">
        <v>271</v>
      </c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61"/>
      <c r="BY58" s="159"/>
      <c r="BZ58" s="201"/>
      <c r="CA58" s="201"/>
      <c r="CB58" s="99"/>
    </row>
    <row r="59" spans="1:80" ht="13.5" customHeight="1" x14ac:dyDescent="0.4">
      <c r="A59" s="159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64" t="s">
        <v>165</v>
      </c>
      <c r="BR59" s="159"/>
      <c r="BS59" s="164" t="s">
        <v>166</v>
      </c>
      <c r="BT59" s="159"/>
      <c r="BU59" s="159" t="s">
        <v>167</v>
      </c>
      <c r="BV59" s="159"/>
      <c r="BW59" s="159"/>
      <c r="BX59" s="161"/>
      <c r="BY59" s="159"/>
      <c r="BZ59" s="201"/>
      <c r="CA59" s="201"/>
      <c r="CB59" s="99"/>
    </row>
    <row r="60" spans="1:80" ht="13.5" customHeight="1" x14ac:dyDescent="0.4">
      <c r="A60" s="159"/>
      <c r="B60" s="177"/>
      <c r="C60" s="159"/>
      <c r="D60" s="159"/>
      <c r="E60" s="159"/>
      <c r="F60" s="159"/>
      <c r="G60" s="159"/>
      <c r="H60" s="159"/>
      <c r="I60" s="159"/>
      <c r="J60" s="159"/>
      <c r="K60" s="159"/>
      <c r="L60" s="178" t="s">
        <v>168</v>
      </c>
      <c r="M60" s="159"/>
      <c r="N60" s="159"/>
      <c r="O60" s="159"/>
      <c r="P60" s="159"/>
      <c r="Q60" s="159"/>
      <c r="R60" s="159"/>
      <c r="S60" s="159"/>
      <c r="T60" s="159"/>
      <c r="U60" s="159"/>
      <c r="V60" s="179"/>
      <c r="W60" s="159"/>
      <c r="X60" s="159"/>
      <c r="Y60" s="159"/>
      <c r="Z60" s="159"/>
      <c r="AA60" s="159"/>
      <c r="AB60" s="159"/>
      <c r="AC60" s="178" t="s">
        <v>169</v>
      </c>
      <c r="AD60" s="237" t="s">
        <v>278</v>
      </c>
      <c r="AE60" s="237"/>
      <c r="AF60" s="179"/>
      <c r="AG60" s="178" t="s">
        <v>143</v>
      </c>
      <c r="AH60" s="238" t="str">
        <f>VLOOKUP(AF95,AA98:AE103,3)</f>
        <v>パターン②</v>
      </c>
      <c r="AI60" s="238"/>
      <c r="AJ60" s="238"/>
      <c r="AK60" s="238"/>
      <c r="AL60" s="180" t="s">
        <v>144</v>
      </c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61"/>
      <c r="BY60" s="159"/>
      <c r="BZ60" s="201"/>
      <c r="CA60" s="201"/>
      <c r="CB60" s="99"/>
    </row>
    <row r="61" spans="1:80" ht="13.5" customHeight="1" x14ac:dyDescent="0.4">
      <c r="A61" s="159"/>
      <c r="B61" s="159"/>
      <c r="C61" s="163" t="s">
        <v>171</v>
      </c>
      <c r="D61" s="236" t="s">
        <v>172</v>
      </c>
      <c r="E61" s="236"/>
      <c r="F61" s="236"/>
      <c r="G61" s="236"/>
      <c r="H61" s="181"/>
      <c r="I61" s="159"/>
      <c r="J61" s="159"/>
      <c r="K61" s="163" t="s">
        <v>173</v>
      </c>
      <c r="L61" s="229">
        <f>K68</f>
        <v>3</v>
      </c>
      <c r="M61" s="229"/>
      <c r="N61" s="159" t="s">
        <v>149</v>
      </c>
      <c r="O61" s="163" t="s">
        <v>152</v>
      </c>
      <c r="P61" s="230" t="str">
        <f>IF(F68=200,"再生細粒度ｱｽｺﾝ13F","再生密粒度ｱｽｺﾝ13F")</f>
        <v>再生密粒度ｱｽｺﾝ13F</v>
      </c>
      <c r="Q61" s="230"/>
      <c r="R61" s="230"/>
      <c r="S61" s="230"/>
      <c r="T61" s="230"/>
      <c r="U61" s="230"/>
      <c r="V61" s="230"/>
      <c r="W61" s="230"/>
      <c r="X61" s="230"/>
      <c r="Y61" s="159" t="s">
        <v>153</v>
      </c>
      <c r="Z61" s="159"/>
      <c r="AA61" s="159"/>
      <c r="AB61" s="163" t="s">
        <v>173</v>
      </c>
      <c r="AC61" s="229">
        <f>K69</f>
        <v>5</v>
      </c>
      <c r="AD61" s="229"/>
      <c r="AE61" s="159" t="s">
        <v>149</v>
      </c>
      <c r="AF61" s="163" t="s">
        <v>152</v>
      </c>
      <c r="AG61" s="229" t="str">
        <f>O69</f>
        <v>再生密粒度ｱｽｺﾝ20F</v>
      </c>
      <c r="AH61" s="229"/>
      <c r="AI61" s="229"/>
      <c r="AJ61" s="229"/>
      <c r="AK61" s="229"/>
      <c r="AL61" s="229"/>
      <c r="AM61" s="159" t="s">
        <v>153</v>
      </c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61"/>
      <c r="BY61" s="159"/>
      <c r="BZ61" s="201"/>
      <c r="CA61" s="201"/>
      <c r="CB61" s="99"/>
    </row>
    <row r="62" spans="1:80" ht="13.5" customHeight="1" x14ac:dyDescent="0.4">
      <c r="A62" s="159"/>
      <c r="B62" s="159"/>
      <c r="C62" s="159"/>
      <c r="D62" s="228" t="s">
        <v>174</v>
      </c>
      <c r="E62" s="228"/>
      <c r="F62" s="228"/>
      <c r="G62" s="228"/>
      <c r="H62" s="181"/>
      <c r="I62" s="159"/>
      <c r="J62" s="159"/>
      <c r="K62" s="163" t="s">
        <v>175</v>
      </c>
      <c r="L62" s="229">
        <f>K72</f>
        <v>17</v>
      </c>
      <c r="M62" s="229"/>
      <c r="N62" s="159" t="s">
        <v>149</v>
      </c>
      <c r="O62" s="163" t="s">
        <v>152</v>
      </c>
      <c r="P62" s="230" t="str">
        <f>O72</f>
        <v>粒調砕石M-40</v>
      </c>
      <c r="Q62" s="230"/>
      <c r="R62" s="230"/>
      <c r="S62" s="230"/>
      <c r="T62" s="230"/>
      <c r="U62" s="230"/>
      <c r="V62" s="230"/>
      <c r="W62" s="230"/>
      <c r="X62" s="230"/>
      <c r="Y62" s="159" t="s">
        <v>153</v>
      </c>
      <c r="Z62" s="159"/>
      <c r="AA62" s="159"/>
      <c r="AB62" s="163" t="s">
        <v>176</v>
      </c>
      <c r="AC62" s="229" t="str">
        <f>K70</f>
        <v>－</v>
      </c>
      <c r="AD62" s="229"/>
      <c r="AE62" s="159" t="s">
        <v>149</v>
      </c>
      <c r="AF62" s="163" t="s">
        <v>152</v>
      </c>
      <c r="AG62" s="229" t="str">
        <f>O70</f>
        <v>－</v>
      </c>
      <c r="AH62" s="229"/>
      <c r="AI62" s="229"/>
      <c r="AJ62" s="229"/>
      <c r="AK62" s="229"/>
      <c r="AL62" s="229"/>
      <c r="AM62" s="159" t="s">
        <v>153</v>
      </c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61"/>
      <c r="BY62" s="159"/>
      <c r="BZ62" s="201"/>
      <c r="CA62" s="201"/>
      <c r="CB62" s="99"/>
    </row>
    <row r="63" spans="1:80" ht="13.5" customHeight="1" x14ac:dyDescent="0.4">
      <c r="A63" s="159"/>
      <c r="B63" s="159"/>
      <c r="C63" s="163" t="s">
        <v>177</v>
      </c>
      <c r="D63" s="228" t="s">
        <v>277</v>
      </c>
      <c r="E63" s="228"/>
      <c r="F63" s="228"/>
      <c r="G63" s="228"/>
      <c r="H63" s="181"/>
      <c r="I63" s="159"/>
      <c r="J63" s="159"/>
      <c r="K63" s="163" t="s">
        <v>179</v>
      </c>
      <c r="L63" s="229">
        <v>25</v>
      </c>
      <c r="M63" s="229"/>
      <c r="N63" s="159" t="s">
        <v>149</v>
      </c>
      <c r="O63" s="163" t="s">
        <v>152</v>
      </c>
      <c r="P63" s="230" t="str">
        <f>O73</f>
        <v>再生ｸﾗｯｼｬｰﾗﾝ40-0</v>
      </c>
      <c r="Q63" s="230"/>
      <c r="R63" s="230"/>
      <c r="S63" s="230"/>
      <c r="T63" s="230"/>
      <c r="U63" s="230"/>
      <c r="V63" s="230"/>
      <c r="W63" s="230"/>
      <c r="X63" s="230"/>
      <c r="Y63" s="159" t="s">
        <v>153</v>
      </c>
      <c r="Z63" s="159"/>
      <c r="AA63" s="159"/>
      <c r="AB63" s="163" t="s">
        <v>180</v>
      </c>
      <c r="AC63" s="229" t="str">
        <f>K71</f>
        <v>－</v>
      </c>
      <c r="AD63" s="229"/>
      <c r="AE63" s="159" t="s">
        <v>149</v>
      </c>
      <c r="AF63" s="163" t="s">
        <v>152</v>
      </c>
      <c r="AG63" s="229" t="str">
        <f>O71</f>
        <v>－</v>
      </c>
      <c r="AH63" s="229"/>
      <c r="AI63" s="229"/>
      <c r="AJ63" s="229"/>
      <c r="AK63" s="229"/>
      <c r="AL63" s="229"/>
      <c r="AM63" s="159" t="s">
        <v>153</v>
      </c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61"/>
      <c r="BY63" s="159"/>
      <c r="BZ63" s="201"/>
      <c r="CA63" s="201"/>
      <c r="CB63" s="99"/>
    </row>
    <row r="64" spans="1:80" ht="13.5" customHeight="1" thickBot="1" x14ac:dyDescent="0.45">
      <c r="A64" s="159"/>
      <c r="B64" s="159"/>
      <c r="C64" s="163" t="s">
        <v>181</v>
      </c>
      <c r="D64" s="225">
        <v>1</v>
      </c>
      <c r="E64" s="225"/>
      <c r="F64" s="225"/>
      <c r="G64" s="225"/>
      <c r="H64" s="159"/>
      <c r="I64" s="159"/>
      <c r="J64" s="159"/>
      <c r="K64" s="163" t="s">
        <v>182</v>
      </c>
      <c r="L64" s="226">
        <f>SUM(L61:M63)</f>
        <v>45</v>
      </c>
      <c r="M64" s="226"/>
      <c r="N64" s="159" t="s">
        <v>149</v>
      </c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60"/>
      <c r="AU64" s="160"/>
      <c r="AV64" s="160"/>
      <c r="AW64" s="160"/>
      <c r="AX64" s="160"/>
      <c r="AY64" s="160"/>
      <c r="AZ64" s="160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61"/>
      <c r="BY64" s="159"/>
      <c r="BZ64" s="201"/>
      <c r="CA64" s="201"/>
      <c r="CB64" s="99"/>
    </row>
    <row r="65" spans="1:80" ht="13.5" customHeight="1" thickTop="1" x14ac:dyDescent="0.4">
      <c r="A65" s="159"/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60"/>
      <c r="AU65" s="160"/>
      <c r="AV65" s="160"/>
      <c r="AW65" s="160"/>
      <c r="AX65" s="160"/>
      <c r="AY65" s="160"/>
      <c r="AZ65" s="160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61"/>
      <c r="BY65" s="159"/>
      <c r="BZ65" s="201"/>
      <c r="CA65" s="201"/>
      <c r="CB65" s="99"/>
    </row>
    <row r="66" spans="1:80" x14ac:dyDescent="0.4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106"/>
      <c r="BW66" s="106"/>
      <c r="BX66" s="106"/>
      <c r="BY66" s="99"/>
      <c r="BZ66" s="99"/>
      <c r="CA66" s="99"/>
    </row>
    <row r="67" spans="1:80" ht="19.5" hidden="1" thickBot="1" x14ac:dyDescent="0.45">
      <c r="A67" s="154" t="s">
        <v>183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154" t="s">
        <v>184</v>
      </c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106"/>
      <c r="BW67" s="106"/>
      <c r="BX67" s="106"/>
      <c r="BY67" s="99"/>
      <c r="BZ67" s="99"/>
      <c r="CA67" s="99"/>
    </row>
    <row r="68" spans="1:80" ht="19.5" hidden="1" thickBot="1" x14ac:dyDescent="0.45">
      <c r="A68" s="99"/>
      <c r="B68" s="99"/>
      <c r="C68" s="99"/>
      <c r="D68" s="99"/>
      <c r="E68" s="104" t="str">
        <f>D61</f>
        <v>車　道</v>
      </c>
      <c r="F68" s="199">
        <f>IF(D61="車　道",100,IF(D61="歩　道",200,"E"))</f>
        <v>100</v>
      </c>
      <c r="G68" s="199"/>
      <c r="H68" s="99"/>
      <c r="I68" s="99"/>
      <c r="J68" s="104" t="s">
        <v>185</v>
      </c>
      <c r="K68" s="198">
        <f>VLOOKUP($F$71,$A$77:$X$89,6,FALSE)</f>
        <v>3</v>
      </c>
      <c r="L68" s="198"/>
      <c r="M68" s="99" t="s">
        <v>149</v>
      </c>
      <c r="N68" s="104" t="s">
        <v>152</v>
      </c>
      <c r="O68" s="199" t="str">
        <f>VLOOKUP($F$71,$A$91:$X$103,6,FALSE)</f>
        <v>再生密粒度ｱｽｺﾝ13F</v>
      </c>
      <c r="P68" s="199"/>
      <c r="Q68" s="199"/>
      <c r="R68" s="199"/>
      <c r="S68" s="99" t="s">
        <v>153</v>
      </c>
      <c r="T68" s="99"/>
      <c r="U68" s="99"/>
      <c r="V68" s="99"/>
      <c r="W68" s="99"/>
      <c r="X68" s="99"/>
      <c r="Y68" s="99"/>
      <c r="Z68" s="155">
        <f>AH88</f>
        <v>3</v>
      </c>
      <c r="AA68" s="227" t="str">
        <f>AB18</f>
        <v>φ２５０ＶＵ</v>
      </c>
      <c r="AB68" s="227"/>
      <c r="AC68" s="227"/>
      <c r="AD68" s="227"/>
      <c r="AE68" s="201">
        <f>VLOOKUP(Z68,Z70:AF87,6,FALSE)</f>
        <v>0.27</v>
      </c>
      <c r="AF68" s="201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106"/>
      <c r="BW68" s="106"/>
      <c r="BX68" s="106"/>
      <c r="BY68" s="99"/>
      <c r="BZ68" s="99"/>
      <c r="CA68" s="99"/>
    </row>
    <row r="69" spans="1:80" hidden="1" x14ac:dyDescent="0.4">
      <c r="A69" s="99"/>
      <c r="B69" s="99"/>
      <c r="C69" s="99"/>
      <c r="D69" s="99"/>
      <c r="E69" s="104" t="str">
        <f>D62</f>
        <v>アスファルト</v>
      </c>
      <c r="F69" s="199">
        <f>IF(D62="アスファルト",10,IF(D62="コンクリート",20,IF(D62="ｲﾝﾀｰﾛｯｷﾝｸﾞ",30,"E")))</f>
        <v>10</v>
      </c>
      <c r="G69" s="199"/>
      <c r="H69" s="99"/>
      <c r="I69" s="99"/>
      <c r="J69" s="104" t="s">
        <v>173</v>
      </c>
      <c r="K69" s="198">
        <f>VLOOKUP($F$71,$A$77:$X$89,8,FALSE)</f>
        <v>5</v>
      </c>
      <c r="L69" s="198"/>
      <c r="M69" s="99" t="s">
        <v>149</v>
      </c>
      <c r="N69" s="104" t="s">
        <v>152</v>
      </c>
      <c r="O69" s="199" t="str">
        <f>VLOOKUP($F$71,$A$91:$X$103,8,FALSE)</f>
        <v>再生密粒度ｱｽｺﾝ20F</v>
      </c>
      <c r="P69" s="199"/>
      <c r="Q69" s="199"/>
      <c r="R69" s="199"/>
      <c r="S69" s="99" t="s">
        <v>153</v>
      </c>
      <c r="T69" s="99"/>
      <c r="U69" s="99"/>
      <c r="V69" s="99"/>
      <c r="W69" s="99"/>
      <c r="X69" s="99"/>
      <c r="Y69" s="99"/>
      <c r="Z69" s="99"/>
      <c r="AA69" s="201" t="s">
        <v>123</v>
      </c>
      <c r="AB69" s="201"/>
      <c r="AC69" s="201"/>
      <c r="AD69" s="201"/>
      <c r="AE69" s="201" t="s">
        <v>186</v>
      </c>
      <c r="AF69" s="201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Y69" s="99"/>
      <c r="BZ69" s="99"/>
      <c r="CA69" s="99"/>
    </row>
    <row r="70" spans="1:80" ht="19.5" hidden="1" thickBot="1" x14ac:dyDescent="0.45">
      <c r="A70" s="99"/>
      <c r="B70" s="99"/>
      <c r="C70" s="99"/>
      <c r="D70" s="99"/>
      <c r="E70" s="104" t="str">
        <f>D63</f>
        <v>Ｌタイプ</v>
      </c>
      <c r="F70" s="199">
        <f>IF(D63="Ｅタイプ",1,IF(D63="Ｌタイプ",2,IF(D63="Ａタイプ",3,IF(D63="Ｂタイプ",4,IF(D63="標準",5,IF(D63="乗入れ",6,"E"))))))</f>
        <v>2</v>
      </c>
      <c r="G70" s="199"/>
      <c r="H70" s="99"/>
      <c r="I70" s="99"/>
      <c r="J70" s="104" t="s">
        <v>176</v>
      </c>
      <c r="K70" s="198" t="str">
        <f>VLOOKUP($F$71,$A$77:$X$89,10,FALSE)</f>
        <v>－</v>
      </c>
      <c r="L70" s="198"/>
      <c r="M70" s="99" t="s">
        <v>149</v>
      </c>
      <c r="N70" s="104" t="s">
        <v>152</v>
      </c>
      <c r="O70" s="199" t="str">
        <f>VLOOKUP($F$71,$A$91:$X$103,10,FALSE)</f>
        <v>－</v>
      </c>
      <c r="P70" s="199"/>
      <c r="Q70" s="199"/>
      <c r="R70" s="199"/>
      <c r="S70" s="99" t="s">
        <v>153</v>
      </c>
      <c r="T70" s="99"/>
      <c r="U70" s="99"/>
      <c r="V70" s="99"/>
      <c r="W70" s="99"/>
      <c r="X70" s="99"/>
      <c r="Y70" s="99"/>
      <c r="Z70" s="99">
        <v>1</v>
      </c>
      <c r="AA70" s="201" t="s">
        <v>187</v>
      </c>
      <c r="AB70" s="201"/>
      <c r="AC70" s="201"/>
      <c r="AD70" s="201"/>
      <c r="AE70" s="201">
        <v>0.17</v>
      </c>
      <c r="AF70" s="201"/>
      <c r="AG70" s="99"/>
      <c r="AH70" s="99">
        <f>IF($AA$68="φ１５０ＶＵ",Z70,0)</f>
        <v>0</v>
      </c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Y70" s="99"/>
      <c r="BZ70" s="99"/>
      <c r="CA70" s="99"/>
    </row>
    <row r="71" spans="1:80" ht="19.5" hidden="1" thickBot="1" x14ac:dyDescent="0.45">
      <c r="A71" s="99"/>
      <c r="B71" s="99"/>
      <c r="C71" s="99"/>
      <c r="D71" s="99"/>
      <c r="F71" s="223">
        <f>SUM(F68:G70)</f>
        <v>112</v>
      </c>
      <c r="G71" s="224"/>
      <c r="H71" s="99"/>
      <c r="I71" s="99"/>
      <c r="J71" s="104" t="s">
        <v>180</v>
      </c>
      <c r="K71" s="198" t="str">
        <f>VLOOKUP($F$71,$A$77:$X$89,12,FALSE)</f>
        <v>－</v>
      </c>
      <c r="L71" s="198"/>
      <c r="M71" s="99" t="s">
        <v>149</v>
      </c>
      <c r="N71" s="104" t="s">
        <v>152</v>
      </c>
      <c r="O71" s="199" t="str">
        <f>VLOOKUP($F$71,$A$91:$X$103,12,FALSE)</f>
        <v>－</v>
      </c>
      <c r="P71" s="199"/>
      <c r="Q71" s="199"/>
      <c r="R71" s="199"/>
      <c r="S71" s="99" t="s">
        <v>153</v>
      </c>
      <c r="T71" s="99"/>
      <c r="U71" s="99"/>
      <c r="V71" s="99"/>
      <c r="W71" s="99"/>
      <c r="X71" s="99"/>
      <c r="Y71" s="99"/>
      <c r="Z71" s="99">
        <v>2</v>
      </c>
      <c r="AA71" s="201" t="s">
        <v>188</v>
      </c>
      <c r="AB71" s="201"/>
      <c r="AC71" s="201"/>
      <c r="AD71" s="201"/>
      <c r="AE71" s="201">
        <v>0.22</v>
      </c>
      <c r="AF71" s="201"/>
      <c r="AG71" s="99"/>
      <c r="AH71" s="99">
        <f>IF($AA$68="φ２００ＶＵ",Z71,0)</f>
        <v>0</v>
      </c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Y71" s="99"/>
      <c r="BZ71" s="99"/>
      <c r="CA71" s="99"/>
    </row>
    <row r="72" spans="1:80" hidden="1" x14ac:dyDescent="0.4">
      <c r="A72" s="99"/>
      <c r="B72" s="99"/>
      <c r="C72" s="99"/>
      <c r="D72" s="99"/>
      <c r="E72" s="99" t="str">
        <f>IF(D62="アスファルト","As",IF(D62="コンクリート","Co","IR"))</f>
        <v>As</v>
      </c>
      <c r="H72" s="99"/>
      <c r="I72" s="99"/>
      <c r="J72" s="104" t="s">
        <v>175</v>
      </c>
      <c r="K72" s="198">
        <f>VLOOKUP($F$71,$A$77:$X$89,14,FALSE)</f>
        <v>17</v>
      </c>
      <c r="L72" s="198"/>
      <c r="M72" s="99" t="s">
        <v>149</v>
      </c>
      <c r="N72" s="104" t="s">
        <v>152</v>
      </c>
      <c r="O72" s="199" t="str">
        <f>VLOOKUP($F$71,$A$91:$X$103,14,FALSE)</f>
        <v>粒調砕石M-40</v>
      </c>
      <c r="P72" s="199"/>
      <c r="Q72" s="199"/>
      <c r="R72" s="199"/>
      <c r="S72" s="99" t="s">
        <v>153</v>
      </c>
      <c r="T72" s="99" t="str">
        <f>VLOOKUP($F$71,$A$91:$X$103,16,FALSE)</f>
        <v>M-40</v>
      </c>
      <c r="U72" s="99"/>
      <c r="V72" s="99"/>
      <c r="W72" s="99"/>
      <c r="X72" s="99"/>
      <c r="Y72" s="99"/>
      <c r="Z72" s="99">
        <v>3</v>
      </c>
      <c r="AA72" s="201" t="s">
        <v>189</v>
      </c>
      <c r="AB72" s="201"/>
      <c r="AC72" s="201"/>
      <c r="AD72" s="201"/>
      <c r="AE72" s="201">
        <v>0.27</v>
      </c>
      <c r="AF72" s="201"/>
      <c r="AG72" s="99"/>
      <c r="AH72" s="99">
        <f>IF($AA$68="φ２５０ＶＵ",Z72,0)</f>
        <v>3</v>
      </c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Y72" s="99"/>
      <c r="BZ72" s="99"/>
      <c r="CA72" s="99"/>
    </row>
    <row r="73" spans="1:80" hidden="1" x14ac:dyDescent="0.4">
      <c r="A73" s="99"/>
      <c r="B73" s="99"/>
      <c r="C73" s="99"/>
      <c r="D73" s="99"/>
      <c r="E73" s="99"/>
      <c r="F73" s="99"/>
      <c r="G73" s="99"/>
      <c r="H73" s="99"/>
      <c r="I73" s="99"/>
      <c r="J73" s="104" t="s">
        <v>179</v>
      </c>
      <c r="K73" s="198">
        <f>VLOOKUP($F$71,$A$77:$X$89,18,FALSE)</f>
        <v>25</v>
      </c>
      <c r="L73" s="198"/>
      <c r="M73" s="99" t="s">
        <v>149</v>
      </c>
      <c r="N73" s="104" t="s">
        <v>152</v>
      </c>
      <c r="O73" s="199" t="str">
        <f>VLOOKUP($F$71,$A$91:$X$103,18,FALSE)</f>
        <v>再生ｸﾗｯｼｬｰﾗﾝ40-0</v>
      </c>
      <c r="P73" s="199"/>
      <c r="Q73" s="199"/>
      <c r="R73" s="199"/>
      <c r="S73" s="99" t="s">
        <v>153</v>
      </c>
      <c r="T73" s="99" t="str">
        <f>VLOOKUP($F$71,$A$91:$X$103,20,FALSE)</f>
        <v>RC-40</v>
      </c>
      <c r="U73" s="99"/>
      <c r="V73" s="99"/>
      <c r="W73" s="99"/>
      <c r="X73" s="99"/>
      <c r="Y73" s="99"/>
      <c r="Z73" s="99">
        <v>4</v>
      </c>
      <c r="AA73" s="201" t="s">
        <v>190</v>
      </c>
      <c r="AB73" s="201"/>
      <c r="AC73" s="201"/>
      <c r="AD73" s="201"/>
      <c r="AE73" s="201">
        <v>0.32</v>
      </c>
      <c r="AF73" s="201"/>
      <c r="AG73" s="99"/>
      <c r="AH73" s="99">
        <f>IF($AA$68="φ３００ＶＵ",Z73,0)</f>
        <v>0</v>
      </c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Y73" s="99"/>
      <c r="BZ73" s="99"/>
      <c r="CA73" s="99"/>
    </row>
    <row r="74" spans="1:80" hidden="1" x14ac:dyDescent="0.4">
      <c r="A74" s="99"/>
      <c r="B74" s="99"/>
      <c r="C74" s="99"/>
      <c r="D74" s="99"/>
      <c r="E74" s="99"/>
      <c r="F74" s="99"/>
      <c r="G74" s="99"/>
      <c r="H74" s="99"/>
      <c r="I74" s="99"/>
      <c r="J74" s="104" t="s">
        <v>191</v>
      </c>
      <c r="K74" s="198">
        <f>VLOOKUP($F$71,$A$77:$X$89,20,FALSE)</f>
        <v>2</v>
      </c>
      <c r="L74" s="198"/>
      <c r="M74" s="99" t="s">
        <v>149</v>
      </c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>
        <v>5</v>
      </c>
      <c r="AA74" s="201" t="s">
        <v>192</v>
      </c>
      <c r="AB74" s="201"/>
      <c r="AC74" s="201"/>
      <c r="AD74" s="201"/>
      <c r="AE74" s="201">
        <v>0.17</v>
      </c>
      <c r="AF74" s="201"/>
      <c r="AG74" s="99"/>
      <c r="AH74" s="99">
        <f>IF($AA$68="φ１５０ＶＰ",Z74,0)</f>
        <v>0</v>
      </c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BY74" s="99"/>
      <c r="BZ74" s="99"/>
      <c r="CA74" s="99"/>
    </row>
    <row r="75" spans="1:80" hidden="1" x14ac:dyDescent="0.4">
      <c r="A75" s="156">
        <v>1</v>
      </c>
      <c r="B75" s="156">
        <v>2</v>
      </c>
      <c r="C75" s="156">
        <v>3</v>
      </c>
      <c r="D75" s="156">
        <v>4</v>
      </c>
      <c r="E75" s="156">
        <v>5</v>
      </c>
      <c r="F75" s="156">
        <v>6</v>
      </c>
      <c r="G75" s="156">
        <v>7</v>
      </c>
      <c r="H75" s="156">
        <v>8</v>
      </c>
      <c r="I75" s="156">
        <v>9</v>
      </c>
      <c r="J75" s="156">
        <v>10</v>
      </c>
      <c r="K75" s="156">
        <v>11</v>
      </c>
      <c r="L75" s="156">
        <v>12</v>
      </c>
      <c r="M75" s="156">
        <v>13</v>
      </c>
      <c r="N75" s="156">
        <v>14</v>
      </c>
      <c r="O75" s="156">
        <v>15</v>
      </c>
      <c r="P75" s="156">
        <v>16</v>
      </c>
      <c r="Q75" s="156">
        <v>17</v>
      </c>
      <c r="R75" s="156">
        <v>18</v>
      </c>
      <c r="S75" s="156">
        <v>19</v>
      </c>
      <c r="T75" s="156">
        <v>20</v>
      </c>
      <c r="U75" s="99"/>
      <c r="V75" s="99"/>
      <c r="W75" s="99"/>
      <c r="X75" s="99"/>
      <c r="Y75" s="99"/>
      <c r="Z75" s="99">
        <v>6</v>
      </c>
      <c r="AA75" s="201" t="s">
        <v>193</v>
      </c>
      <c r="AB75" s="201"/>
      <c r="AC75" s="201"/>
      <c r="AD75" s="201"/>
      <c r="AE75" s="201">
        <v>0.22</v>
      </c>
      <c r="AF75" s="201"/>
      <c r="AG75" s="99"/>
      <c r="AH75" s="99">
        <f>IF($AA$68="φ２００ＶＰ",Z75,0)</f>
        <v>0</v>
      </c>
      <c r="AI75" s="99"/>
      <c r="AJ75" s="99"/>
      <c r="AK75" s="99"/>
      <c r="AL75" s="99"/>
      <c r="AM75" s="99"/>
      <c r="AN75" s="99"/>
      <c r="AO75" s="99"/>
      <c r="AP75" s="99"/>
      <c r="BY75" s="99"/>
      <c r="BZ75" s="99"/>
      <c r="CA75" s="99"/>
    </row>
    <row r="76" spans="1:80" hidden="1" x14ac:dyDescent="0.4">
      <c r="A76" s="218"/>
      <c r="B76" s="219"/>
      <c r="C76" s="218"/>
      <c r="D76" s="220"/>
      <c r="E76" s="219"/>
      <c r="F76" s="221" t="s">
        <v>194</v>
      </c>
      <c r="G76" s="221"/>
      <c r="H76" s="221" t="s">
        <v>195</v>
      </c>
      <c r="I76" s="221"/>
      <c r="J76" s="221" t="s">
        <v>196</v>
      </c>
      <c r="K76" s="221"/>
      <c r="L76" s="221" t="s">
        <v>197</v>
      </c>
      <c r="M76" s="221"/>
      <c r="N76" s="221" t="s">
        <v>198</v>
      </c>
      <c r="O76" s="221"/>
      <c r="P76" s="221"/>
      <c r="Q76" s="221"/>
      <c r="R76" s="221" t="s">
        <v>199</v>
      </c>
      <c r="S76" s="221"/>
      <c r="T76" s="222" t="s">
        <v>200</v>
      </c>
      <c r="U76" s="222"/>
      <c r="V76" s="222"/>
      <c r="W76" s="222"/>
      <c r="X76" s="222"/>
      <c r="Y76" s="99"/>
      <c r="Z76" s="99">
        <v>7</v>
      </c>
      <c r="AA76" s="201" t="s">
        <v>201</v>
      </c>
      <c r="AB76" s="201"/>
      <c r="AC76" s="201"/>
      <c r="AD76" s="201"/>
      <c r="AE76" s="201">
        <v>0.27</v>
      </c>
      <c r="AF76" s="201"/>
      <c r="AG76" s="99"/>
      <c r="AH76" s="99">
        <f>IF($AA$68="φ２５０ＶＰ",Z76,0)</f>
        <v>0</v>
      </c>
      <c r="AI76" s="99"/>
      <c r="AJ76" s="99"/>
      <c r="AK76" s="99"/>
      <c r="AL76" s="99"/>
      <c r="AM76" s="99"/>
      <c r="AN76" s="99"/>
      <c r="AO76" s="99"/>
      <c r="AP76" s="99"/>
      <c r="BY76" s="99"/>
      <c r="BZ76" s="99"/>
      <c r="CA76" s="99"/>
    </row>
    <row r="77" spans="1:80" hidden="1" x14ac:dyDescent="0.4">
      <c r="A77" s="212">
        <v>111</v>
      </c>
      <c r="B77" s="212"/>
      <c r="C77" s="212" t="s">
        <v>202</v>
      </c>
      <c r="D77" s="212"/>
      <c r="E77" s="212"/>
      <c r="F77" s="212">
        <v>3</v>
      </c>
      <c r="G77" s="212"/>
      <c r="H77" s="212">
        <v>5</v>
      </c>
      <c r="I77" s="212"/>
      <c r="J77" s="212" t="s">
        <v>203</v>
      </c>
      <c r="K77" s="212"/>
      <c r="L77" s="212" t="s">
        <v>203</v>
      </c>
      <c r="M77" s="212"/>
      <c r="N77" s="212">
        <v>12</v>
      </c>
      <c r="O77" s="212"/>
      <c r="P77" s="212">
        <v>10</v>
      </c>
      <c r="Q77" s="212"/>
      <c r="R77" s="212">
        <v>20</v>
      </c>
      <c r="S77" s="212"/>
      <c r="T77" s="212">
        <f>N77-P77</f>
        <v>2</v>
      </c>
      <c r="U77" s="212"/>
      <c r="V77" s="212"/>
      <c r="W77" s="212"/>
      <c r="X77" s="212"/>
      <c r="Y77" s="99"/>
      <c r="Z77" s="99">
        <v>8</v>
      </c>
      <c r="AA77" s="201" t="s">
        <v>204</v>
      </c>
      <c r="AB77" s="201"/>
      <c r="AC77" s="201"/>
      <c r="AD77" s="201"/>
      <c r="AE77" s="201">
        <v>0.32</v>
      </c>
      <c r="AF77" s="201"/>
      <c r="AG77" s="99"/>
      <c r="AH77" s="99">
        <f>IF($AA$68="φ３００ＶＰ",Z77,0)</f>
        <v>0</v>
      </c>
      <c r="AI77" s="99"/>
      <c r="AJ77" s="99"/>
      <c r="AK77" s="99"/>
      <c r="AL77" s="99"/>
      <c r="AM77" s="99"/>
      <c r="AN77" s="99"/>
      <c r="AO77" s="99"/>
      <c r="AP77" s="99"/>
      <c r="BY77" s="99"/>
      <c r="BZ77" s="99"/>
      <c r="CA77" s="99"/>
    </row>
    <row r="78" spans="1:80" hidden="1" x14ac:dyDescent="0.4">
      <c r="A78" s="208">
        <v>112</v>
      </c>
      <c r="B78" s="208"/>
      <c r="C78" s="208" t="s">
        <v>205</v>
      </c>
      <c r="D78" s="208"/>
      <c r="E78" s="208"/>
      <c r="F78" s="208">
        <v>3</v>
      </c>
      <c r="G78" s="208"/>
      <c r="H78" s="208">
        <v>5</v>
      </c>
      <c r="I78" s="208"/>
      <c r="J78" s="208" t="s">
        <v>203</v>
      </c>
      <c r="K78" s="208"/>
      <c r="L78" s="208" t="s">
        <v>203</v>
      </c>
      <c r="M78" s="208"/>
      <c r="N78" s="208">
        <v>17</v>
      </c>
      <c r="O78" s="208"/>
      <c r="P78" s="208">
        <v>15</v>
      </c>
      <c r="Q78" s="208"/>
      <c r="R78" s="208">
        <v>25</v>
      </c>
      <c r="S78" s="208"/>
      <c r="T78" s="208">
        <f t="shared" ref="T78:T89" si="0">N78-P78</f>
        <v>2</v>
      </c>
      <c r="U78" s="208"/>
      <c r="V78" s="208"/>
      <c r="W78" s="208"/>
      <c r="X78" s="208"/>
      <c r="Y78" s="99"/>
      <c r="Z78" s="99">
        <v>9</v>
      </c>
      <c r="AA78" s="201" t="s">
        <v>206</v>
      </c>
      <c r="AB78" s="201"/>
      <c r="AC78" s="201"/>
      <c r="AD78" s="201"/>
      <c r="AE78" s="201">
        <v>0.26</v>
      </c>
      <c r="AF78" s="201"/>
      <c r="AG78" s="99"/>
      <c r="AH78" s="99">
        <f>IF($AA$68="φ２００ＨＰ",Z78,0)</f>
        <v>0</v>
      </c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BY78" s="99"/>
      <c r="BZ78" s="99"/>
      <c r="CA78" s="99"/>
    </row>
    <row r="79" spans="1:80" hidden="1" x14ac:dyDescent="0.4">
      <c r="A79" s="208">
        <v>113</v>
      </c>
      <c r="B79" s="208"/>
      <c r="C79" s="208" t="s">
        <v>207</v>
      </c>
      <c r="D79" s="208"/>
      <c r="E79" s="208"/>
      <c r="F79" s="208">
        <v>5</v>
      </c>
      <c r="G79" s="208"/>
      <c r="H79" s="208">
        <v>5</v>
      </c>
      <c r="I79" s="208"/>
      <c r="J79" s="208" t="s">
        <v>203</v>
      </c>
      <c r="K79" s="208"/>
      <c r="L79" s="208">
        <v>5</v>
      </c>
      <c r="M79" s="208"/>
      <c r="N79" s="208">
        <v>20</v>
      </c>
      <c r="O79" s="208"/>
      <c r="P79" s="208">
        <v>15</v>
      </c>
      <c r="Q79" s="208"/>
      <c r="R79" s="208">
        <v>25</v>
      </c>
      <c r="S79" s="208"/>
      <c r="T79" s="208">
        <f t="shared" si="0"/>
        <v>5</v>
      </c>
      <c r="U79" s="208"/>
      <c r="V79" s="208"/>
      <c r="W79" s="208"/>
      <c r="X79" s="208"/>
      <c r="Y79" s="99"/>
      <c r="Z79" s="99">
        <v>10</v>
      </c>
      <c r="AA79" s="201" t="s">
        <v>208</v>
      </c>
      <c r="AB79" s="201"/>
      <c r="AC79" s="201"/>
      <c r="AD79" s="201"/>
      <c r="AE79" s="201">
        <v>0.31</v>
      </c>
      <c r="AF79" s="201"/>
      <c r="AG79" s="99"/>
      <c r="AH79" s="99">
        <f>IF($AA$68="φ２５０ＨＰ",Z79,0)</f>
        <v>0</v>
      </c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BY79" s="99"/>
      <c r="BZ79" s="99"/>
      <c r="CA79" s="99"/>
    </row>
    <row r="80" spans="1:80" hidden="1" x14ac:dyDescent="0.4">
      <c r="A80" s="208">
        <v>114</v>
      </c>
      <c r="B80" s="208"/>
      <c r="C80" s="208" t="s">
        <v>209</v>
      </c>
      <c r="D80" s="208"/>
      <c r="E80" s="208"/>
      <c r="F80" s="208">
        <v>5</v>
      </c>
      <c r="G80" s="208"/>
      <c r="H80" s="208">
        <v>5</v>
      </c>
      <c r="I80" s="208"/>
      <c r="J80" s="208">
        <v>5</v>
      </c>
      <c r="K80" s="208"/>
      <c r="L80" s="208">
        <v>5</v>
      </c>
      <c r="M80" s="208"/>
      <c r="N80" s="208">
        <v>25</v>
      </c>
      <c r="O80" s="208"/>
      <c r="P80" s="208">
        <v>15</v>
      </c>
      <c r="Q80" s="208"/>
      <c r="R80" s="208">
        <v>35</v>
      </c>
      <c r="S80" s="208"/>
      <c r="T80" s="208">
        <f t="shared" si="0"/>
        <v>10</v>
      </c>
      <c r="U80" s="208"/>
      <c r="V80" s="208"/>
      <c r="W80" s="208"/>
      <c r="X80" s="208"/>
      <c r="Y80" s="99"/>
      <c r="Z80" s="99">
        <v>11</v>
      </c>
      <c r="AA80" s="201" t="s">
        <v>210</v>
      </c>
      <c r="AB80" s="201"/>
      <c r="AC80" s="201"/>
      <c r="AD80" s="201"/>
      <c r="AE80" s="201">
        <v>0.36</v>
      </c>
      <c r="AF80" s="201"/>
      <c r="AG80" s="99"/>
      <c r="AH80" s="99">
        <f>IF($AA$68="φ３００ＨＰ",Z80,0)</f>
        <v>0</v>
      </c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BY80" s="99"/>
      <c r="BZ80" s="99"/>
      <c r="CA80" s="99"/>
    </row>
    <row r="81" spans="1:79" hidden="1" x14ac:dyDescent="0.4">
      <c r="A81" s="208">
        <v>122</v>
      </c>
      <c r="B81" s="208"/>
      <c r="C81" s="208" t="s">
        <v>211</v>
      </c>
      <c r="D81" s="208"/>
      <c r="E81" s="208"/>
      <c r="F81" s="208">
        <v>3</v>
      </c>
      <c r="G81" s="208"/>
      <c r="H81" s="208">
        <v>15</v>
      </c>
      <c r="I81" s="208"/>
      <c r="J81" s="208" t="s">
        <v>203</v>
      </c>
      <c r="K81" s="208"/>
      <c r="L81" s="208" t="s">
        <v>203</v>
      </c>
      <c r="M81" s="208"/>
      <c r="N81" s="208">
        <v>32</v>
      </c>
      <c r="O81" s="208"/>
      <c r="P81" s="208">
        <v>20</v>
      </c>
      <c r="Q81" s="208"/>
      <c r="R81" s="208">
        <v>25</v>
      </c>
      <c r="S81" s="208"/>
      <c r="T81" s="208">
        <f t="shared" si="0"/>
        <v>12</v>
      </c>
      <c r="U81" s="208"/>
      <c r="V81" s="208"/>
      <c r="W81" s="208"/>
      <c r="X81" s="208"/>
      <c r="Y81" s="99"/>
      <c r="Z81" s="99">
        <v>12</v>
      </c>
      <c r="AA81" s="201" t="s">
        <v>212</v>
      </c>
      <c r="AB81" s="201"/>
      <c r="AC81" s="201"/>
      <c r="AD81" s="201"/>
      <c r="AE81" s="201">
        <v>0.42</v>
      </c>
      <c r="AF81" s="201"/>
      <c r="AG81" s="99"/>
      <c r="AH81" s="99">
        <f>IF($AA$68="φ３５０ＨＰ",Z81,0)</f>
        <v>0</v>
      </c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BY81" s="99"/>
      <c r="BZ81" s="99"/>
      <c r="CA81" s="99"/>
    </row>
    <row r="82" spans="1:79" hidden="1" x14ac:dyDescent="0.4">
      <c r="A82" s="208">
        <v>123</v>
      </c>
      <c r="B82" s="208"/>
      <c r="C82" s="208" t="s">
        <v>213</v>
      </c>
      <c r="D82" s="208"/>
      <c r="E82" s="208"/>
      <c r="F82" s="208">
        <v>5</v>
      </c>
      <c r="G82" s="208"/>
      <c r="H82" s="208">
        <v>20</v>
      </c>
      <c r="I82" s="208"/>
      <c r="J82" s="208" t="s">
        <v>203</v>
      </c>
      <c r="K82" s="208"/>
      <c r="L82" s="208" t="s">
        <v>203</v>
      </c>
      <c r="M82" s="208"/>
      <c r="N82" s="208">
        <v>35</v>
      </c>
      <c r="O82" s="208"/>
      <c r="P82" s="208">
        <v>20</v>
      </c>
      <c r="Q82" s="208"/>
      <c r="R82" s="208">
        <v>25</v>
      </c>
      <c r="S82" s="208"/>
      <c r="T82" s="208">
        <f t="shared" si="0"/>
        <v>15</v>
      </c>
      <c r="U82" s="208"/>
      <c r="V82" s="208"/>
      <c r="W82" s="208"/>
      <c r="X82" s="208"/>
      <c r="Y82" s="99"/>
      <c r="Z82" s="99">
        <v>13</v>
      </c>
      <c r="AA82" s="201" t="s">
        <v>214</v>
      </c>
      <c r="AB82" s="201"/>
      <c r="AC82" s="201"/>
      <c r="AD82" s="201"/>
      <c r="AE82" s="201">
        <v>0.47</v>
      </c>
      <c r="AF82" s="201"/>
      <c r="AG82" s="99"/>
      <c r="AH82" s="99">
        <f>IF($AA$68="φ４００ＨＰ",Z82,0)</f>
        <v>0</v>
      </c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BY82" s="99"/>
      <c r="BZ82" s="99"/>
      <c r="CA82" s="99"/>
    </row>
    <row r="83" spans="1:79" hidden="1" x14ac:dyDescent="0.4">
      <c r="A83" s="208">
        <v>124</v>
      </c>
      <c r="B83" s="208"/>
      <c r="C83" s="208" t="s">
        <v>215</v>
      </c>
      <c r="D83" s="208"/>
      <c r="E83" s="208"/>
      <c r="F83" s="208">
        <v>5</v>
      </c>
      <c r="G83" s="208"/>
      <c r="H83" s="208">
        <v>25</v>
      </c>
      <c r="I83" s="208"/>
      <c r="J83" s="208" t="s">
        <v>203</v>
      </c>
      <c r="K83" s="208"/>
      <c r="L83" s="208" t="s">
        <v>203</v>
      </c>
      <c r="M83" s="208"/>
      <c r="N83" s="208">
        <v>50</v>
      </c>
      <c r="O83" s="208"/>
      <c r="P83" s="208">
        <v>30</v>
      </c>
      <c r="Q83" s="208"/>
      <c r="R83" s="208">
        <v>30</v>
      </c>
      <c r="S83" s="208"/>
      <c r="T83" s="208">
        <f t="shared" si="0"/>
        <v>20</v>
      </c>
      <c r="U83" s="208"/>
      <c r="V83" s="208"/>
      <c r="W83" s="208"/>
      <c r="X83" s="208"/>
      <c r="Y83" s="99"/>
      <c r="Z83" s="99">
        <v>14</v>
      </c>
      <c r="AA83" s="201" t="s">
        <v>216</v>
      </c>
      <c r="AB83" s="201"/>
      <c r="AC83" s="201"/>
      <c r="AD83" s="201"/>
      <c r="AE83" s="201">
        <v>0.25</v>
      </c>
      <c r="AF83" s="201"/>
      <c r="AG83" s="99"/>
      <c r="AH83" s="99">
        <f>IF($AA$68="φ２００ＴＰ",Z83,0)</f>
        <v>0</v>
      </c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BY83" s="99"/>
      <c r="BZ83" s="99"/>
      <c r="CA83" s="99"/>
    </row>
    <row r="84" spans="1:79" hidden="1" x14ac:dyDescent="0.4">
      <c r="A84" s="208">
        <v>215</v>
      </c>
      <c r="B84" s="208"/>
      <c r="C84" s="208" t="s">
        <v>217</v>
      </c>
      <c r="D84" s="208"/>
      <c r="E84" s="208"/>
      <c r="F84" s="208">
        <v>3</v>
      </c>
      <c r="G84" s="208"/>
      <c r="H84" s="208">
        <v>3</v>
      </c>
      <c r="I84" s="208"/>
      <c r="J84" s="208" t="s">
        <v>203</v>
      </c>
      <c r="K84" s="208"/>
      <c r="L84" s="208" t="s">
        <v>203</v>
      </c>
      <c r="M84" s="208"/>
      <c r="N84" s="208">
        <v>10</v>
      </c>
      <c r="O84" s="208"/>
      <c r="P84" s="208">
        <v>10</v>
      </c>
      <c r="Q84" s="208"/>
      <c r="R84" s="208" t="s">
        <v>203</v>
      </c>
      <c r="S84" s="208"/>
      <c r="T84" s="208">
        <f t="shared" si="0"/>
        <v>0</v>
      </c>
      <c r="U84" s="208"/>
      <c r="V84" s="208"/>
      <c r="W84" s="208"/>
      <c r="X84" s="208"/>
      <c r="Y84" s="99"/>
      <c r="Z84" s="99">
        <v>15</v>
      </c>
      <c r="AA84" s="201" t="s">
        <v>218</v>
      </c>
      <c r="AB84" s="201"/>
      <c r="AC84" s="201"/>
      <c r="AD84" s="201"/>
      <c r="AE84" s="201">
        <v>0.3</v>
      </c>
      <c r="AF84" s="201"/>
      <c r="AG84" s="99"/>
      <c r="AH84" s="99">
        <f>IF($AA$68="φ２５０ＴＰ",Z84,0)</f>
        <v>0</v>
      </c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BY84" s="99"/>
      <c r="BZ84" s="99"/>
      <c r="CA84" s="99"/>
    </row>
    <row r="85" spans="1:79" hidden="1" x14ac:dyDescent="0.4">
      <c r="A85" s="208">
        <v>216</v>
      </c>
      <c r="B85" s="208"/>
      <c r="C85" s="208" t="s">
        <v>219</v>
      </c>
      <c r="D85" s="208"/>
      <c r="E85" s="208"/>
      <c r="F85" s="208">
        <v>3</v>
      </c>
      <c r="G85" s="208"/>
      <c r="H85" s="208">
        <v>4</v>
      </c>
      <c r="I85" s="208"/>
      <c r="J85" s="208" t="s">
        <v>203</v>
      </c>
      <c r="K85" s="208"/>
      <c r="L85" s="208" t="s">
        <v>203</v>
      </c>
      <c r="M85" s="208"/>
      <c r="N85" s="208">
        <v>16</v>
      </c>
      <c r="O85" s="208"/>
      <c r="P85" s="208">
        <v>15</v>
      </c>
      <c r="Q85" s="208"/>
      <c r="R85" s="208" t="s">
        <v>203</v>
      </c>
      <c r="S85" s="208"/>
      <c r="T85" s="208">
        <f t="shared" si="0"/>
        <v>1</v>
      </c>
      <c r="U85" s="208"/>
      <c r="V85" s="208"/>
      <c r="W85" s="208"/>
      <c r="X85" s="208"/>
      <c r="Y85" s="99"/>
      <c r="Z85" s="99">
        <v>16</v>
      </c>
      <c r="AA85" s="201" t="s">
        <v>220</v>
      </c>
      <c r="AB85" s="201"/>
      <c r="AC85" s="201"/>
      <c r="AD85" s="201"/>
      <c r="AE85" s="201">
        <v>0.36</v>
      </c>
      <c r="AF85" s="201"/>
      <c r="AG85" s="99"/>
      <c r="AH85" s="99">
        <f>IF($AA$68="φ３５０ＴＰ",Z85,0)</f>
        <v>0</v>
      </c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BY85" s="99"/>
      <c r="BZ85" s="99"/>
      <c r="CA85" s="99"/>
    </row>
    <row r="86" spans="1:79" hidden="1" x14ac:dyDescent="0.4">
      <c r="A86" s="208">
        <v>225</v>
      </c>
      <c r="B86" s="208"/>
      <c r="C86" s="208" t="s">
        <v>221</v>
      </c>
      <c r="D86" s="208"/>
      <c r="E86" s="208"/>
      <c r="F86" s="208">
        <v>3</v>
      </c>
      <c r="G86" s="208"/>
      <c r="H86" s="208">
        <v>7</v>
      </c>
      <c r="I86" s="208"/>
      <c r="J86" s="208" t="s">
        <v>203</v>
      </c>
      <c r="K86" s="208"/>
      <c r="L86" s="208" t="s">
        <v>203</v>
      </c>
      <c r="M86" s="208"/>
      <c r="N86" s="208">
        <v>14</v>
      </c>
      <c r="O86" s="208"/>
      <c r="P86" s="208">
        <v>10</v>
      </c>
      <c r="Q86" s="208"/>
      <c r="R86" s="208" t="s">
        <v>203</v>
      </c>
      <c r="S86" s="208"/>
      <c r="T86" s="208">
        <f t="shared" si="0"/>
        <v>4</v>
      </c>
      <c r="U86" s="208"/>
      <c r="V86" s="208"/>
      <c r="W86" s="208"/>
      <c r="X86" s="208"/>
      <c r="Y86" s="99"/>
      <c r="Z86" s="99">
        <v>17</v>
      </c>
      <c r="AA86" s="201" t="s">
        <v>222</v>
      </c>
      <c r="AB86" s="201"/>
      <c r="AC86" s="201"/>
      <c r="AD86" s="201"/>
      <c r="AE86" s="201">
        <v>0.21</v>
      </c>
      <c r="AF86" s="201"/>
      <c r="AG86" s="99"/>
      <c r="AH86" s="99">
        <f>IF($AA$68="Φ２００ＰＲＰ",Z86,0)</f>
        <v>0</v>
      </c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BY86" s="99"/>
      <c r="BZ86" s="99"/>
      <c r="CA86" s="99"/>
    </row>
    <row r="87" spans="1:79" ht="19.5" hidden="1" thickBot="1" x14ac:dyDescent="0.45">
      <c r="A87" s="208">
        <v>226</v>
      </c>
      <c r="B87" s="208"/>
      <c r="C87" s="208" t="s">
        <v>223</v>
      </c>
      <c r="D87" s="208"/>
      <c r="E87" s="208"/>
      <c r="F87" s="208">
        <v>3</v>
      </c>
      <c r="G87" s="208"/>
      <c r="H87" s="208">
        <v>10</v>
      </c>
      <c r="I87" s="208"/>
      <c r="J87" s="208" t="s">
        <v>203</v>
      </c>
      <c r="K87" s="208"/>
      <c r="L87" s="208" t="s">
        <v>203</v>
      </c>
      <c r="M87" s="208"/>
      <c r="N87" s="208">
        <v>22</v>
      </c>
      <c r="O87" s="208"/>
      <c r="P87" s="208">
        <v>15</v>
      </c>
      <c r="Q87" s="208"/>
      <c r="R87" s="208" t="s">
        <v>203</v>
      </c>
      <c r="S87" s="208"/>
      <c r="T87" s="208">
        <f t="shared" si="0"/>
        <v>7</v>
      </c>
      <c r="U87" s="208"/>
      <c r="V87" s="208"/>
      <c r="W87" s="208"/>
      <c r="X87" s="208"/>
      <c r="Y87" s="99"/>
      <c r="Z87" s="99">
        <v>18</v>
      </c>
      <c r="AA87" s="99" t="s">
        <v>224</v>
      </c>
      <c r="AB87" s="99"/>
      <c r="AC87" s="99"/>
      <c r="AD87" s="99"/>
      <c r="AE87" s="217">
        <v>0.11</v>
      </c>
      <c r="AF87" s="217"/>
      <c r="AG87" s="99"/>
      <c r="AH87" s="100">
        <f>IF($AA$68="Φ２００ﾒｶﾛｯｸ",Z87,0)</f>
        <v>0</v>
      </c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BY87" s="99"/>
      <c r="BZ87" s="99"/>
      <c r="CA87" s="99"/>
    </row>
    <row r="88" spans="1:79" ht="19.5" hidden="1" thickBot="1" x14ac:dyDescent="0.45">
      <c r="A88" s="208">
        <v>235</v>
      </c>
      <c r="B88" s="208"/>
      <c r="C88" s="208" t="s">
        <v>225</v>
      </c>
      <c r="D88" s="208"/>
      <c r="E88" s="208"/>
      <c r="F88" s="208">
        <v>3</v>
      </c>
      <c r="G88" s="208"/>
      <c r="H88" s="208">
        <v>6</v>
      </c>
      <c r="I88" s="208"/>
      <c r="J88" s="208">
        <v>3</v>
      </c>
      <c r="K88" s="208"/>
      <c r="L88" s="208" t="s">
        <v>203</v>
      </c>
      <c r="M88" s="208"/>
      <c r="N88" s="208">
        <v>16</v>
      </c>
      <c r="O88" s="208"/>
      <c r="P88" s="208">
        <v>10</v>
      </c>
      <c r="Q88" s="208"/>
      <c r="R88" s="208" t="s">
        <v>203</v>
      </c>
      <c r="S88" s="208"/>
      <c r="T88" s="208">
        <f t="shared" si="0"/>
        <v>6</v>
      </c>
      <c r="U88" s="208"/>
      <c r="V88" s="208"/>
      <c r="W88" s="208"/>
      <c r="X88" s="208"/>
      <c r="Y88" s="99"/>
      <c r="Z88" s="99"/>
      <c r="AA88" s="216" t="s">
        <v>226</v>
      </c>
      <c r="AB88" s="216"/>
      <c r="AC88" s="216"/>
      <c r="AD88" s="99"/>
      <c r="AE88" s="99"/>
      <c r="AF88" s="99"/>
      <c r="AG88" s="99"/>
      <c r="AH88" s="157">
        <f>SUM(AH70:AH87)</f>
        <v>3</v>
      </c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BY88" s="99"/>
      <c r="BZ88" s="99"/>
      <c r="CA88" s="99"/>
    </row>
    <row r="89" spans="1:79" hidden="1" x14ac:dyDescent="0.4">
      <c r="A89" s="204">
        <v>236</v>
      </c>
      <c r="B89" s="204"/>
      <c r="C89" s="204" t="s">
        <v>227</v>
      </c>
      <c r="D89" s="204"/>
      <c r="E89" s="204"/>
      <c r="F89" s="204">
        <v>3</v>
      </c>
      <c r="G89" s="204"/>
      <c r="H89" s="204">
        <v>8</v>
      </c>
      <c r="I89" s="204"/>
      <c r="J89" s="204">
        <v>3</v>
      </c>
      <c r="K89" s="204"/>
      <c r="L89" s="204" t="s">
        <v>203</v>
      </c>
      <c r="M89" s="204"/>
      <c r="N89" s="204">
        <v>23</v>
      </c>
      <c r="O89" s="204"/>
      <c r="P89" s="204">
        <v>15</v>
      </c>
      <c r="Q89" s="204"/>
      <c r="R89" s="204" t="s">
        <v>203</v>
      </c>
      <c r="S89" s="204"/>
      <c r="T89" s="204">
        <f t="shared" si="0"/>
        <v>8</v>
      </c>
      <c r="U89" s="204"/>
      <c r="V89" s="204"/>
      <c r="W89" s="204"/>
      <c r="X89" s="204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BY89" s="99"/>
      <c r="BZ89" s="99"/>
      <c r="CA89" s="99"/>
    </row>
    <row r="90" spans="1:79" hidden="1" x14ac:dyDescent="0.4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154" t="s">
        <v>228</v>
      </c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BY90" s="99"/>
      <c r="BZ90" s="99"/>
      <c r="CA90" s="99"/>
    </row>
    <row r="91" spans="1:79" hidden="1" x14ac:dyDescent="0.4">
      <c r="A91" s="212">
        <v>111</v>
      </c>
      <c r="B91" s="212"/>
      <c r="C91" s="212" t="s">
        <v>202</v>
      </c>
      <c r="D91" s="212"/>
      <c r="E91" s="212"/>
      <c r="F91" s="213" t="s">
        <v>229</v>
      </c>
      <c r="G91" s="213"/>
      <c r="H91" s="213" t="s">
        <v>230</v>
      </c>
      <c r="I91" s="213"/>
      <c r="J91" s="212" t="s">
        <v>203</v>
      </c>
      <c r="K91" s="212"/>
      <c r="L91" s="212" t="s">
        <v>203</v>
      </c>
      <c r="M91" s="212"/>
      <c r="N91" s="214" t="s">
        <v>231</v>
      </c>
      <c r="O91" s="215"/>
      <c r="P91" s="214" t="s">
        <v>232</v>
      </c>
      <c r="Q91" s="215"/>
      <c r="R91" s="213" t="s">
        <v>233</v>
      </c>
      <c r="S91" s="213"/>
      <c r="T91" s="213" t="s">
        <v>234</v>
      </c>
      <c r="U91" s="213"/>
      <c r="V91" s="213"/>
      <c r="W91" s="213"/>
      <c r="X91" s="213"/>
      <c r="Y91" s="99"/>
      <c r="Z91" s="99"/>
      <c r="AA91" s="99"/>
      <c r="AB91" s="99"/>
      <c r="AC91" s="104" t="s">
        <v>181</v>
      </c>
      <c r="AD91" s="198">
        <f>D64</f>
        <v>1</v>
      </c>
      <c r="AE91" s="198"/>
      <c r="AF91" s="198">
        <f>IF(D64=1,100,200)</f>
        <v>100</v>
      </c>
      <c r="AG91" s="198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BY91" s="99"/>
      <c r="BZ91" s="99"/>
      <c r="CA91" s="99"/>
    </row>
    <row r="92" spans="1:79" hidden="1" x14ac:dyDescent="0.4">
      <c r="A92" s="208">
        <v>112</v>
      </c>
      <c r="B92" s="208"/>
      <c r="C92" s="208" t="s">
        <v>205</v>
      </c>
      <c r="D92" s="208"/>
      <c r="E92" s="208"/>
      <c r="F92" s="209" t="s">
        <v>229</v>
      </c>
      <c r="G92" s="209"/>
      <c r="H92" s="209" t="s">
        <v>230</v>
      </c>
      <c r="I92" s="209"/>
      <c r="J92" s="208" t="s">
        <v>203</v>
      </c>
      <c r="K92" s="208"/>
      <c r="L92" s="208" t="s">
        <v>203</v>
      </c>
      <c r="M92" s="208"/>
      <c r="N92" s="206" t="s">
        <v>235</v>
      </c>
      <c r="O92" s="207"/>
      <c r="P92" s="206" t="s">
        <v>236</v>
      </c>
      <c r="Q92" s="207"/>
      <c r="R92" s="209" t="s">
        <v>233</v>
      </c>
      <c r="S92" s="209"/>
      <c r="T92" s="209" t="s">
        <v>234</v>
      </c>
      <c r="U92" s="209"/>
      <c r="V92" s="209"/>
      <c r="W92" s="209"/>
      <c r="X92" s="209"/>
      <c r="Y92" s="99"/>
      <c r="Z92" s="99"/>
      <c r="AA92" s="99"/>
      <c r="AB92" s="99"/>
      <c r="AC92" s="102" t="s">
        <v>237</v>
      </c>
      <c r="AE92" s="104" t="str">
        <f>IF(D64=1,"－－",IF(R12&lt;=U8/2-0.3,"１車線施工","２車線施工"))</f>
        <v>－－</v>
      </c>
      <c r="AF92" s="198">
        <f>IF(D64=1,0,IF(R12&lt;=U8/2-0.3,10,20))</f>
        <v>0</v>
      </c>
      <c r="AG92" s="198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BY92" s="99"/>
      <c r="BZ92" s="99"/>
      <c r="CA92" s="99"/>
    </row>
    <row r="93" spans="1:79" hidden="1" x14ac:dyDescent="0.4">
      <c r="A93" s="208">
        <v>113</v>
      </c>
      <c r="B93" s="208"/>
      <c r="C93" s="208" t="s">
        <v>207</v>
      </c>
      <c r="D93" s="208"/>
      <c r="E93" s="208"/>
      <c r="F93" s="209" t="s">
        <v>229</v>
      </c>
      <c r="G93" s="209"/>
      <c r="H93" s="209" t="s">
        <v>230</v>
      </c>
      <c r="I93" s="209"/>
      <c r="J93" s="208" t="s">
        <v>203</v>
      </c>
      <c r="K93" s="208"/>
      <c r="L93" s="209" t="s">
        <v>238</v>
      </c>
      <c r="M93" s="209"/>
      <c r="N93" s="206" t="s">
        <v>235</v>
      </c>
      <c r="O93" s="207"/>
      <c r="P93" s="206" t="s">
        <v>236</v>
      </c>
      <c r="Q93" s="207"/>
      <c r="R93" s="209" t="s">
        <v>233</v>
      </c>
      <c r="S93" s="209"/>
      <c r="T93" s="209" t="s">
        <v>234</v>
      </c>
      <c r="U93" s="209"/>
      <c r="V93" s="209"/>
      <c r="W93" s="209"/>
      <c r="X93" s="209"/>
      <c r="Y93" s="99"/>
      <c r="Z93" s="99"/>
      <c r="AA93" s="99"/>
      <c r="AB93" s="99"/>
      <c r="AC93" s="104" t="s">
        <v>239</v>
      </c>
      <c r="AD93" s="198">
        <f>AC12</f>
        <v>2.5</v>
      </c>
      <c r="AE93" s="198"/>
      <c r="AF93" s="198">
        <f>IF(AF92=20,0,IF(AC12&lt;1.5,1,2))</f>
        <v>2</v>
      </c>
      <c r="AG93" s="198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BY93" s="99"/>
      <c r="BZ93" s="99"/>
      <c r="CA93" s="99"/>
    </row>
    <row r="94" spans="1:79" ht="19.5" hidden="1" thickBot="1" x14ac:dyDescent="0.45">
      <c r="A94" s="208">
        <v>114</v>
      </c>
      <c r="B94" s="208"/>
      <c r="C94" s="208" t="s">
        <v>209</v>
      </c>
      <c r="D94" s="208"/>
      <c r="E94" s="208"/>
      <c r="F94" s="209" t="s">
        <v>229</v>
      </c>
      <c r="G94" s="209"/>
      <c r="H94" s="209" t="s">
        <v>230</v>
      </c>
      <c r="I94" s="209"/>
      <c r="J94" s="209" t="s">
        <v>240</v>
      </c>
      <c r="K94" s="209"/>
      <c r="L94" s="209" t="s">
        <v>238</v>
      </c>
      <c r="M94" s="209"/>
      <c r="N94" s="206" t="s">
        <v>235</v>
      </c>
      <c r="O94" s="207"/>
      <c r="P94" s="206" t="s">
        <v>236</v>
      </c>
      <c r="Q94" s="207"/>
      <c r="R94" s="209" t="s">
        <v>233</v>
      </c>
      <c r="S94" s="209"/>
      <c r="T94" s="209" t="s">
        <v>234</v>
      </c>
      <c r="U94" s="209"/>
      <c r="V94" s="209"/>
      <c r="W94" s="209"/>
      <c r="X94" s="209"/>
      <c r="Y94" s="99"/>
      <c r="Z94" s="99"/>
      <c r="AA94" s="99"/>
      <c r="AB94" s="99"/>
      <c r="AC94" s="104" t="s">
        <v>241</v>
      </c>
      <c r="AE94" s="104" t="str">
        <f>IF(D64=1,"－－",AA88)</f>
        <v>－－</v>
      </c>
      <c r="AF94" s="198" t="str">
        <f>IF(D64=1,"－－",IF(AA88="方勾配",1,2))</f>
        <v>－－</v>
      </c>
      <c r="AG94" s="198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BY94" s="99"/>
      <c r="BZ94" s="99"/>
      <c r="CA94" s="99"/>
    </row>
    <row r="95" spans="1:79" ht="19.5" hidden="1" thickBot="1" x14ac:dyDescent="0.45">
      <c r="A95" s="208">
        <v>122</v>
      </c>
      <c r="B95" s="208"/>
      <c r="C95" s="208" t="s">
        <v>211</v>
      </c>
      <c r="D95" s="208"/>
      <c r="E95" s="208"/>
      <c r="F95" s="209" t="s">
        <v>229</v>
      </c>
      <c r="G95" s="209"/>
      <c r="H95" s="209" t="s">
        <v>242</v>
      </c>
      <c r="I95" s="209"/>
      <c r="J95" s="208" t="s">
        <v>203</v>
      </c>
      <c r="K95" s="208"/>
      <c r="L95" s="208" t="s">
        <v>203</v>
      </c>
      <c r="M95" s="208"/>
      <c r="N95" s="206" t="s">
        <v>235</v>
      </c>
      <c r="O95" s="207"/>
      <c r="P95" s="206" t="s">
        <v>236</v>
      </c>
      <c r="Q95" s="207"/>
      <c r="R95" s="209" t="s">
        <v>233</v>
      </c>
      <c r="S95" s="209"/>
      <c r="T95" s="209" t="s">
        <v>234</v>
      </c>
      <c r="U95" s="209"/>
      <c r="V95" s="209"/>
      <c r="W95" s="209"/>
      <c r="X95" s="209"/>
      <c r="Y95" s="99"/>
      <c r="Z95" s="99"/>
      <c r="AA95" s="99"/>
      <c r="AB95" s="99"/>
      <c r="AC95" s="99"/>
      <c r="AD95" s="99"/>
      <c r="AE95" s="99"/>
      <c r="AF95" s="210">
        <f>SUM(AF91:AG94)</f>
        <v>102</v>
      </c>
      <c r="AG95" s="211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BY95" s="99"/>
      <c r="BZ95" s="99"/>
      <c r="CA95" s="99"/>
    </row>
    <row r="96" spans="1:79" hidden="1" x14ac:dyDescent="0.4">
      <c r="A96" s="208">
        <v>123</v>
      </c>
      <c r="B96" s="208"/>
      <c r="C96" s="208" t="s">
        <v>213</v>
      </c>
      <c r="D96" s="208"/>
      <c r="E96" s="208"/>
      <c r="F96" s="209" t="s">
        <v>229</v>
      </c>
      <c r="G96" s="209"/>
      <c r="H96" s="209" t="s">
        <v>242</v>
      </c>
      <c r="I96" s="209"/>
      <c r="J96" s="208" t="s">
        <v>203</v>
      </c>
      <c r="K96" s="208"/>
      <c r="L96" s="208" t="s">
        <v>203</v>
      </c>
      <c r="M96" s="208"/>
      <c r="N96" s="206" t="s">
        <v>235</v>
      </c>
      <c r="O96" s="207"/>
      <c r="P96" s="206" t="s">
        <v>236</v>
      </c>
      <c r="Q96" s="207"/>
      <c r="R96" s="209" t="s">
        <v>233</v>
      </c>
      <c r="S96" s="209"/>
      <c r="T96" s="209" t="s">
        <v>234</v>
      </c>
      <c r="U96" s="209"/>
      <c r="V96" s="209"/>
      <c r="W96" s="209"/>
      <c r="X96" s="209"/>
      <c r="Y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BY96" s="99"/>
      <c r="BZ96" s="99"/>
      <c r="CA96" s="99"/>
    </row>
    <row r="97" spans="1:85" hidden="1" x14ac:dyDescent="0.4">
      <c r="A97" s="208">
        <v>124</v>
      </c>
      <c r="B97" s="208"/>
      <c r="C97" s="208" t="s">
        <v>215</v>
      </c>
      <c r="D97" s="208"/>
      <c r="E97" s="208"/>
      <c r="F97" s="209" t="s">
        <v>229</v>
      </c>
      <c r="G97" s="209"/>
      <c r="H97" s="209" t="s">
        <v>242</v>
      </c>
      <c r="I97" s="209"/>
      <c r="J97" s="208" t="s">
        <v>203</v>
      </c>
      <c r="K97" s="208"/>
      <c r="L97" s="208" t="s">
        <v>203</v>
      </c>
      <c r="M97" s="208"/>
      <c r="N97" s="206" t="s">
        <v>235</v>
      </c>
      <c r="O97" s="207"/>
      <c r="P97" s="206" t="s">
        <v>236</v>
      </c>
      <c r="Q97" s="207"/>
      <c r="R97" s="209" t="s">
        <v>233</v>
      </c>
      <c r="S97" s="209"/>
      <c r="T97" s="209" t="s">
        <v>234</v>
      </c>
      <c r="U97" s="209"/>
      <c r="V97" s="209"/>
      <c r="W97" s="209"/>
      <c r="X97" s="209"/>
      <c r="Y97" s="99"/>
      <c r="AF97" s="198" t="s">
        <v>243</v>
      </c>
      <c r="AG97" s="198"/>
      <c r="AH97" s="198" t="s">
        <v>244</v>
      </c>
      <c r="AI97" s="198"/>
      <c r="AJ97" s="198" t="s">
        <v>245</v>
      </c>
      <c r="AK97" s="198"/>
      <c r="AL97" s="198"/>
      <c r="AM97" s="198"/>
      <c r="AN97" s="198" t="s">
        <v>246</v>
      </c>
      <c r="AO97" s="198"/>
      <c r="AP97" s="198" t="s">
        <v>247</v>
      </c>
      <c r="AQ97" s="198"/>
      <c r="AR97" s="198" t="s">
        <v>248</v>
      </c>
      <c r="AS97" s="198"/>
      <c r="AT97" s="198" t="s">
        <v>249</v>
      </c>
      <c r="AU97" s="198"/>
      <c r="AV97" s="99"/>
      <c r="AW97" s="99"/>
      <c r="AX97" s="99"/>
      <c r="AY97" s="99"/>
      <c r="CE97" s="99"/>
      <c r="CF97" s="99"/>
      <c r="CG97" s="99"/>
    </row>
    <row r="98" spans="1:85" hidden="1" x14ac:dyDescent="0.4">
      <c r="A98" s="208">
        <v>215</v>
      </c>
      <c r="B98" s="208"/>
      <c r="C98" s="208" t="s">
        <v>217</v>
      </c>
      <c r="D98" s="208"/>
      <c r="E98" s="208"/>
      <c r="F98" s="209" t="s">
        <v>250</v>
      </c>
      <c r="G98" s="209"/>
      <c r="H98" s="209" t="s">
        <v>251</v>
      </c>
      <c r="I98" s="209"/>
      <c r="J98" s="208" t="s">
        <v>203</v>
      </c>
      <c r="K98" s="208"/>
      <c r="L98" s="208" t="s">
        <v>203</v>
      </c>
      <c r="M98" s="208"/>
      <c r="N98" s="206" t="s">
        <v>252</v>
      </c>
      <c r="O98" s="207"/>
      <c r="P98" s="206" t="s">
        <v>234</v>
      </c>
      <c r="Q98" s="207"/>
      <c r="R98" s="208" t="s">
        <v>203</v>
      </c>
      <c r="S98" s="208"/>
      <c r="T98" s="209"/>
      <c r="U98" s="209"/>
      <c r="V98" s="209"/>
      <c r="W98" s="209"/>
      <c r="X98" s="209"/>
      <c r="Y98" s="99"/>
      <c r="AA98" s="198">
        <v>101</v>
      </c>
      <c r="AB98" s="198"/>
      <c r="AC98" s="201" t="s">
        <v>253</v>
      </c>
      <c r="AD98" s="201"/>
      <c r="AE98" s="201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CE98" s="99"/>
      <c r="CF98" s="99"/>
      <c r="CG98" s="99"/>
    </row>
    <row r="99" spans="1:85" hidden="1" x14ac:dyDescent="0.4">
      <c r="A99" s="208">
        <v>216</v>
      </c>
      <c r="B99" s="208"/>
      <c r="C99" s="208" t="s">
        <v>219</v>
      </c>
      <c r="D99" s="208"/>
      <c r="E99" s="208"/>
      <c r="F99" s="209" t="s">
        <v>250</v>
      </c>
      <c r="G99" s="209"/>
      <c r="H99" s="209" t="s">
        <v>251</v>
      </c>
      <c r="I99" s="209"/>
      <c r="J99" s="208" t="s">
        <v>203</v>
      </c>
      <c r="K99" s="208"/>
      <c r="L99" s="208" t="s">
        <v>203</v>
      </c>
      <c r="M99" s="208"/>
      <c r="N99" s="206" t="s">
        <v>252</v>
      </c>
      <c r="O99" s="207"/>
      <c r="P99" s="206" t="s">
        <v>234</v>
      </c>
      <c r="Q99" s="207"/>
      <c r="R99" s="208" t="s">
        <v>203</v>
      </c>
      <c r="S99" s="208"/>
      <c r="T99" s="209"/>
      <c r="U99" s="209"/>
      <c r="V99" s="209"/>
      <c r="W99" s="209"/>
      <c r="X99" s="209"/>
      <c r="Y99" s="99"/>
      <c r="AA99" s="198">
        <v>102</v>
      </c>
      <c r="AB99" s="198"/>
      <c r="AC99" s="99" t="s">
        <v>254</v>
      </c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CE99" s="99"/>
      <c r="CF99" s="99"/>
      <c r="CG99" s="99"/>
    </row>
    <row r="100" spans="1:85" hidden="1" x14ac:dyDescent="0.4">
      <c r="A100" s="208">
        <v>225</v>
      </c>
      <c r="B100" s="208"/>
      <c r="C100" s="208" t="s">
        <v>221</v>
      </c>
      <c r="D100" s="208"/>
      <c r="E100" s="208"/>
      <c r="F100" s="209" t="s">
        <v>250</v>
      </c>
      <c r="G100" s="209"/>
      <c r="H100" s="209" t="s">
        <v>242</v>
      </c>
      <c r="I100" s="209"/>
      <c r="J100" s="208" t="s">
        <v>203</v>
      </c>
      <c r="K100" s="208"/>
      <c r="L100" s="208" t="s">
        <v>203</v>
      </c>
      <c r="M100" s="208"/>
      <c r="N100" s="206" t="s">
        <v>252</v>
      </c>
      <c r="O100" s="207"/>
      <c r="P100" s="206" t="s">
        <v>234</v>
      </c>
      <c r="Q100" s="207"/>
      <c r="R100" s="208" t="s">
        <v>203</v>
      </c>
      <c r="S100" s="208"/>
      <c r="T100" s="209"/>
      <c r="U100" s="209"/>
      <c r="V100" s="209"/>
      <c r="W100" s="209"/>
      <c r="X100" s="209"/>
      <c r="Y100" s="99"/>
      <c r="AA100" s="198">
        <v>211</v>
      </c>
      <c r="AB100" s="198"/>
      <c r="AC100" s="99" t="s">
        <v>255</v>
      </c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U100" s="99"/>
      <c r="AV100" s="99"/>
      <c r="AW100" s="99"/>
      <c r="AX100" s="99"/>
      <c r="AY100" s="99"/>
      <c r="CE100" s="99"/>
      <c r="CF100" s="99"/>
      <c r="CG100" s="99"/>
    </row>
    <row r="101" spans="1:85" hidden="1" x14ac:dyDescent="0.4">
      <c r="A101" s="208">
        <v>226</v>
      </c>
      <c r="B101" s="208"/>
      <c r="C101" s="208" t="s">
        <v>223</v>
      </c>
      <c r="D101" s="208"/>
      <c r="E101" s="208"/>
      <c r="F101" s="209" t="s">
        <v>250</v>
      </c>
      <c r="G101" s="209"/>
      <c r="H101" s="209" t="s">
        <v>242</v>
      </c>
      <c r="I101" s="209"/>
      <c r="J101" s="208" t="s">
        <v>203</v>
      </c>
      <c r="K101" s="208"/>
      <c r="L101" s="208" t="s">
        <v>203</v>
      </c>
      <c r="M101" s="208"/>
      <c r="N101" s="206" t="s">
        <v>252</v>
      </c>
      <c r="O101" s="207"/>
      <c r="P101" s="206" t="s">
        <v>234</v>
      </c>
      <c r="Q101" s="207"/>
      <c r="R101" s="208" t="s">
        <v>203</v>
      </c>
      <c r="S101" s="208"/>
      <c r="T101" s="209"/>
      <c r="U101" s="209"/>
      <c r="V101" s="209"/>
      <c r="W101" s="209"/>
      <c r="X101" s="209"/>
      <c r="Y101" s="99"/>
      <c r="AA101" s="198">
        <v>212</v>
      </c>
      <c r="AB101" s="198"/>
      <c r="AC101" s="99" t="s">
        <v>256</v>
      </c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U101" s="99"/>
      <c r="AV101" s="99"/>
      <c r="AW101" s="99"/>
      <c r="AX101" s="99"/>
      <c r="AY101" s="99"/>
      <c r="CE101" s="99"/>
      <c r="CF101" s="99"/>
      <c r="CG101" s="99"/>
    </row>
    <row r="102" spans="1:85" hidden="1" x14ac:dyDescent="0.4">
      <c r="A102" s="208">
        <v>235</v>
      </c>
      <c r="B102" s="208"/>
      <c r="C102" s="208" t="s">
        <v>225</v>
      </c>
      <c r="D102" s="208"/>
      <c r="E102" s="208"/>
      <c r="F102" s="209" t="s">
        <v>250</v>
      </c>
      <c r="G102" s="209"/>
      <c r="H102" s="209" t="s">
        <v>257</v>
      </c>
      <c r="I102" s="209"/>
      <c r="J102" s="209" t="s">
        <v>258</v>
      </c>
      <c r="K102" s="209"/>
      <c r="L102" s="208" t="s">
        <v>203</v>
      </c>
      <c r="M102" s="208"/>
      <c r="N102" s="206" t="s">
        <v>252</v>
      </c>
      <c r="O102" s="207"/>
      <c r="P102" s="206" t="s">
        <v>234</v>
      </c>
      <c r="Q102" s="207"/>
      <c r="R102" s="208" t="s">
        <v>203</v>
      </c>
      <c r="S102" s="208"/>
      <c r="T102" s="209"/>
      <c r="U102" s="209"/>
      <c r="V102" s="209"/>
      <c r="W102" s="209"/>
      <c r="X102" s="209"/>
      <c r="AA102" s="198">
        <v>221</v>
      </c>
      <c r="AB102" s="198"/>
      <c r="AC102" s="99" t="s">
        <v>259</v>
      </c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U102" s="99"/>
      <c r="AV102" s="99"/>
      <c r="AW102" s="99"/>
      <c r="AX102" s="99"/>
      <c r="AY102" s="99"/>
      <c r="CE102" s="99"/>
      <c r="CF102" s="99"/>
      <c r="CG102" s="99"/>
    </row>
    <row r="103" spans="1:85" hidden="1" x14ac:dyDescent="0.4">
      <c r="A103" s="204">
        <v>236</v>
      </c>
      <c r="B103" s="204"/>
      <c r="C103" s="204" t="s">
        <v>227</v>
      </c>
      <c r="D103" s="204"/>
      <c r="E103" s="204"/>
      <c r="F103" s="205" t="s">
        <v>250</v>
      </c>
      <c r="G103" s="205"/>
      <c r="H103" s="205" t="s">
        <v>257</v>
      </c>
      <c r="I103" s="205"/>
      <c r="J103" s="205" t="s">
        <v>258</v>
      </c>
      <c r="K103" s="205"/>
      <c r="L103" s="204" t="s">
        <v>203</v>
      </c>
      <c r="M103" s="204"/>
      <c r="N103" s="202" t="s">
        <v>252</v>
      </c>
      <c r="O103" s="203"/>
      <c r="P103" s="202" t="s">
        <v>234</v>
      </c>
      <c r="Q103" s="203"/>
      <c r="R103" s="204" t="s">
        <v>203</v>
      </c>
      <c r="S103" s="204"/>
      <c r="T103" s="205"/>
      <c r="U103" s="205"/>
      <c r="V103" s="205"/>
      <c r="W103" s="205"/>
      <c r="X103" s="205"/>
      <c r="Y103" s="99"/>
      <c r="Z103" s="99"/>
      <c r="AA103" s="198">
        <v>222</v>
      </c>
      <c r="AB103" s="198"/>
      <c r="AC103" s="99" t="s">
        <v>260</v>
      </c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CE103" s="99"/>
      <c r="CF103" s="99"/>
      <c r="CG103" s="99"/>
    </row>
    <row r="104" spans="1:85" hidden="1" x14ac:dyDescent="0.4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V104" s="99"/>
      <c r="AW104" s="99"/>
      <c r="AX104" s="99"/>
      <c r="AY104" s="99"/>
      <c r="CE104" s="99"/>
      <c r="CF104" s="99"/>
      <c r="CG104" s="99"/>
    </row>
    <row r="105" spans="1:85" hidden="1" x14ac:dyDescent="0.4">
      <c r="A105" s="198" t="s">
        <v>121</v>
      </c>
      <c r="B105" s="198"/>
      <c r="C105" s="99" t="str">
        <f>VLOOKUP(1,A107:F112,3,FALSE)</f>
        <v>１．５ｍ以下</v>
      </c>
      <c r="D105" s="99"/>
      <c r="E105" s="99"/>
      <c r="F105" s="99"/>
      <c r="G105" s="198" t="s">
        <v>122</v>
      </c>
      <c r="H105" s="198"/>
      <c r="I105" s="99" t="str">
        <f>VLOOKUP(1,G107:L112,3,FALSE)</f>
        <v>２．５ｍ以下</v>
      </c>
      <c r="J105" s="99"/>
      <c r="K105" s="99"/>
      <c r="L105" s="99"/>
      <c r="M105" s="99"/>
      <c r="N105" s="99"/>
      <c r="O105" s="158"/>
      <c r="P105" s="158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V105" s="99"/>
      <c r="AW105" s="99"/>
      <c r="AX105" s="99"/>
      <c r="AY105" s="99"/>
      <c r="CE105" s="99"/>
      <c r="CF105" s="99"/>
      <c r="CG105" s="99"/>
    </row>
    <row r="106" spans="1:85" hidden="1" x14ac:dyDescent="0.4">
      <c r="A106" s="198" t="str">
        <f>BK39</f>
        <v>平均</v>
      </c>
      <c r="B106" s="198"/>
      <c r="C106" s="200">
        <f>IF(BK39="最大",R44,AVERAGE(R44,M44))</f>
        <v>1.4350000000000001</v>
      </c>
      <c r="D106" s="201"/>
      <c r="E106" s="201"/>
      <c r="F106" s="99" t="s">
        <v>261</v>
      </c>
      <c r="G106" s="105"/>
      <c r="H106" s="105"/>
      <c r="I106" s="99"/>
      <c r="J106" s="99"/>
      <c r="K106" s="99"/>
      <c r="L106" s="99"/>
      <c r="M106" s="99"/>
      <c r="N106" s="99"/>
      <c r="O106" s="158"/>
      <c r="P106" s="158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V106" s="99"/>
      <c r="AW106" s="99"/>
      <c r="AX106" s="99"/>
      <c r="AY106" s="99"/>
      <c r="CE106" s="99"/>
      <c r="CF106" s="99"/>
      <c r="CG106" s="99"/>
    </row>
    <row r="107" spans="1:85" hidden="1" x14ac:dyDescent="0.4">
      <c r="A107" s="198">
        <f>IF($C$106&lt;=1.5,1,0)</f>
        <v>1</v>
      </c>
      <c r="B107" s="198"/>
      <c r="C107" s="199" t="s">
        <v>262</v>
      </c>
      <c r="D107" s="199"/>
      <c r="E107" s="198">
        <f>IF($R$44&lt;=1.5,$N$37,0)</f>
        <v>1.5</v>
      </c>
      <c r="F107" s="198"/>
      <c r="G107" s="198">
        <f>IF($AD$45&lt;=1.5,1,0)</f>
        <v>0</v>
      </c>
      <c r="H107" s="198"/>
      <c r="I107" s="199" t="s">
        <v>262</v>
      </c>
      <c r="J107" s="199"/>
      <c r="K107" s="198">
        <f>IF($AD$45&lt;=1.5,$T$37,0)</f>
        <v>0</v>
      </c>
      <c r="L107" s="198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C107" s="99"/>
      <c r="AD107" s="99"/>
      <c r="AE107" s="99"/>
      <c r="AF107" s="99"/>
      <c r="AG107" s="99"/>
      <c r="AH107" s="99"/>
      <c r="AI107" s="99"/>
      <c r="AJ107" s="99"/>
      <c r="AK107" s="99"/>
      <c r="AN107" s="99"/>
      <c r="AO107" s="99"/>
      <c r="AP107" s="99"/>
      <c r="AQ107" s="99"/>
      <c r="AR107" s="99"/>
      <c r="AV107" s="99"/>
      <c r="AW107" s="99"/>
      <c r="AX107" s="99"/>
      <c r="AY107" s="99"/>
      <c r="CE107" s="99"/>
      <c r="CF107" s="99"/>
      <c r="CG107" s="99"/>
    </row>
    <row r="108" spans="1:85" hidden="1" x14ac:dyDescent="0.4">
      <c r="A108" s="198">
        <f>IF(AND($C$106&gt;1.5,$C$106&lt;=2),1,0)</f>
        <v>0</v>
      </c>
      <c r="B108" s="198"/>
      <c r="C108" s="199" t="s">
        <v>263</v>
      </c>
      <c r="D108" s="199"/>
      <c r="E108" s="198">
        <f>IF(AND($R$44&gt;1.5,$R$44&lt;=2),$N$37,0)</f>
        <v>0</v>
      </c>
      <c r="F108" s="198"/>
      <c r="G108" s="198">
        <f>IF(AND($AD$45&gt;1.5,$AD$45&lt;=2),1,0)</f>
        <v>0</v>
      </c>
      <c r="H108" s="198"/>
      <c r="I108" s="199" t="s">
        <v>263</v>
      </c>
      <c r="J108" s="199"/>
      <c r="K108" s="198">
        <f>IF(AND($AD$45&gt;1.5,$AD$45&lt;=2),$T$37,0)</f>
        <v>0</v>
      </c>
      <c r="L108" s="198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C108" s="99"/>
      <c r="AD108" s="99"/>
      <c r="AE108" s="99"/>
      <c r="AF108" s="99"/>
      <c r="AG108" s="99"/>
      <c r="AH108" s="99"/>
      <c r="AI108" s="99"/>
      <c r="AJ108" s="99"/>
      <c r="AK108" s="99"/>
      <c r="AN108" s="99"/>
      <c r="AO108" s="99"/>
      <c r="AP108" s="99"/>
      <c r="AQ108" s="99"/>
      <c r="AV108" s="99"/>
      <c r="AW108" s="99"/>
      <c r="AX108" s="99"/>
      <c r="AY108" s="99"/>
      <c r="CE108" s="99"/>
      <c r="CF108" s="99"/>
      <c r="CG108" s="99"/>
    </row>
    <row r="109" spans="1:85" hidden="1" x14ac:dyDescent="0.4">
      <c r="A109" s="198">
        <f>IF(AND($C$106&gt;2,$C$106&lt;=2.5),1,0)</f>
        <v>0</v>
      </c>
      <c r="B109" s="198"/>
      <c r="C109" s="199" t="s">
        <v>264</v>
      </c>
      <c r="D109" s="199"/>
      <c r="E109" s="198">
        <f>IF(AND($R$44&gt;2,$R$44&lt;=2.5),$N$37,0)</f>
        <v>0</v>
      </c>
      <c r="F109" s="198"/>
      <c r="G109" s="198">
        <f>IF(AND($AD$45&gt;2,$AD$45&lt;=2.5),1,0)</f>
        <v>1</v>
      </c>
      <c r="H109" s="198"/>
      <c r="I109" s="199" t="s">
        <v>264</v>
      </c>
      <c r="J109" s="199"/>
      <c r="K109" s="198">
        <f>IF(AND($AD$45&gt;2,$AD$45&lt;=2.5),$T$37,0)</f>
        <v>1</v>
      </c>
      <c r="L109" s="198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V109" s="99"/>
      <c r="AW109" s="99"/>
      <c r="AX109" s="99"/>
      <c r="AY109" s="99"/>
      <c r="CE109" s="99"/>
      <c r="CF109" s="99"/>
      <c r="CG109" s="99"/>
    </row>
    <row r="110" spans="1:85" hidden="1" x14ac:dyDescent="0.4">
      <c r="A110" s="198">
        <f>IF(AND($C$106&gt;2.5,$C$106&lt;=3),1,0)</f>
        <v>0</v>
      </c>
      <c r="B110" s="198"/>
      <c r="C110" s="199" t="s">
        <v>265</v>
      </c>
      <c r="D110" s="199"/>
      <c r="E110" s="198">
        <f>IF(AND($R$44&gt;2.5,$R$44&lt;=3),$N$37,0)</f>
        <v>0</v>
      </c>
      <c r="F110" s="198"/>
      <c r="G110" s="198">
        <f>IF(AND($AD$45&gt;2.5,$AD$45&lt;=3),1,0)</f>
        <v>0</v>
      </c>
      <c r="H110" s="198"/>
      <c r="I110" s="199" t="s">
        <v>265</v>
      </c>
      <c r="J110" s="199"/>
      <c r="K110" s="198">
        <f>IF(AND($AD$45&gt;2.5,$AD$45&lt;=3),$T$37,0)</f>
        <v>0</v>
      </c>
      <c r="L110" s="198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O110" s="99"/>
      <c r="AP110" s="99"/>
      <c r="AQ110" s="99"/>
      <c r="BY110" s="99"/>
      <c r="BZ110" s="99"/>
      <c r="CA110" s="99"/>
    </row>
    <row r="111" spans="1:85" hidden="1" x14ac:dyDescent="0.4">
      <c r="A111" s="198">
        <f>IF(AND($C$106&gt;3,$C$106&lt;=3.5),1,0)</f>
        <v>0</v>
      </c>
      <c r="B111" s="198"/>
      <c r="C111" s="199" t="s">
        <v>266</v>
      </c>
      <c r="D111" s="199"/>
      <c r="E111" s="198">
        <f>IF(AND($R$44&gt;3,$R$44&lt;=3.5),$N$37,0)</f>
        <v>0</v>
      </c>
      <c r="F111" s="198"/>
      <c r="G111" s="198">
        <f>IF(AND($AD$45&gt;3,$AD$45&lt;=3.5),1,0)</f>
        <v>0</v>
      </c>
      <c r="H111" s="198"/>
      <c r="I111" s="199" t="s">
        <v>266</v>
      </c>
      <c r="J111" s="199"/>
      <c r="K111" s="198">
        <f>IF(AND($AD$45&gt;3,$AD$45&lt;=3.5),$T$37,0)</f>
        <v>0</v>
      </c>
      <c r="L111" s="198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O111" s="99"/>
      <c r="AP111" s="99"/>
      <c r="AQ111" s="99"/>
      <c r="BY111" s="99"/>
      <c r="BZ111" s="99"/>
      <c r="CA111" s="99"/>
    </row>
    <row r="112" spans="1:85" hidden="1" x14ac:dyDescent="0.4">
      <c r="A112" s="198">
        <f>IF(AND($C$106&gt;3.5,$C$106&lt;=4),1,0)</f>
        <v>0</v>
      </c>
      <c r="B112" s="198"/>
      <c r="C112" s="199" t="s">
        <v>267</v>
      </c>
      <c r="D112" s="199"/>
      <c r="E112" s="198">
        <f>IF(AND($R$44&gt;3.5,$R$44&lt;=4),$N$37,0)</f>
        <v>0</v>
      </c>
      <c r="F112" s="198"/>
      <c r="G112" s="198">
        <f>IF(AND($AD$45&gt;3.5,$AD$45&lt;=4),1,0)</f>
        <v>0</v>
      </c>
      <c r="H112" s="198"/>
      <c r="I112" s="199" t="s">
        <v>267</v>
      </c>
      <c r="J112" s="199"/>
      <c r="K112" s="198">
        <f>IF(AND($AD$45&gt;3.5,$AD$45&lt;=4),$T$37,0)</f>
        <v>0</v>
      </c>
      <c r="L112" s="198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BY112" s="99"/>
      <c r="BZ112" s="99"/>
      <c r="CA112" s="99"/>
    </row>
    <row r="113" spans="1:79" hidden="1" x14ac:dyDescent="0.4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BY113" s="99"/>
      <c r="BZ113" s="99"/>
      <c r="CA113" s="99"/>
    </row>
    <row r="114" spans="1:79" x14ac:dyDescent="0.4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BY114" s="99"/>
      <c r="BZ114" s="99"/>
      <c r="CA114" s="99"/>
    </row>
    <row r="115" spans="1:79" x14ac:dyDescent="0.4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BY115" s="99"/>
      <c r="BZ115" s="99"/>
      <c r="CA115" s="99"/>
    </row>
    <row r="116" spans="1:79" x14ac:dyDescent="0.4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BY116" s="99"/>
      <c r="BZ116" s="99"/>
      <c r="CA116" s="99"/>
    </row>
    <row r="117" spans="1:79" x14ac:dyDescent="0.4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BY117" s="99"/>
      <c r="BZ117" s="99"/>
      <c r="CA117" s="99"/>
    </row>
    <row r="118" spans="1:79" x14ac:dyDescent="0.4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N118" s="99"/>
      <c r="AO118" s="99"/>
      <c r="AP118" s="99"/>
      <c r="AQ118" s="99"/>
      <c r="BY118" s="99"/>
      <c r="BZ118" s="99"/>
      <c r="CA118" s="99"/>
    </row>
    <row r="119" spans="1:79" x14ac:dyDescent="0.4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AN119" s="99"/>
      <c r="AO119" s="99"/>
      <c r="AP119" s="99"/>
      <c r="AQ119" s="99"/>
      <c r="BY119" s="99"/>
      <c r="BZ119" s="99"/>
      <c r="CA119" s="99"/>
    </row>
    <row r="120" spans="1:79" x14ac:dyDescent="0.4">
      <c r="AN120" s="99"/>
      <c r="AO120" s="99"/>
      <c r="AP120" s="99"/>
      <c r="AQ120" s="99"/>
      <c r="BY120" s="99"/>
      <c r="BZ120" s="99"/>
      <c r="CA120" s="99"/>
    </row>
    <row r="121" spans="1:79" x14ac:dyDescent="0.4">
      <c r="BY121" s="99"/>
      <c r="BZ121" s="99"/>
      <c r="CA121" s="99"/>
    </row>
    <row r="122" spans="1:79" x14ac:dyDescent="0.4">
      <c r="BY122" s="99"/>
      <c r="BZ122" s="99"/>
      <c r="CA122" s="99"/>
    </row>
    <row r="123" spans="1:79" x14ac:dyDescent="0.4">
      <c r="BY123" s="99"/>
      <c r="BZ123" s="99"/>
      <c r="CA123" s="99"/>
    </row>
    <row r="124" spans="1:79" x14ac:dyDescent="0.4">
      <c r="BY124" s="99"/>
      <c r="BZ124" s="99"/>
      <c r="CA124" s="99"/>
    </row>
    <row r="125" spans="1:79" x14ac:dyDescent="0.4">
      <c r="BY125" s="99"/>
      <c r="BZ125" s="99"/>
      <c r="CA125" s="99"/>
    </row>
    <row r="126" spans="1:79" x14ac:dyDescent="0.4">
      <c r="BY126" s="99"/>
      <c r="BZ126" s="99"/>
      <c r="CA126" s="99"/>
    </row>
    <row r="127" spans="1:79" x14ac:dyDescent="0.4">
      <c r="BY127" s="99"/>
      <c r="BZ127" s="99"/>
      <c r="CA127" s="99"/>
    </row>
    <row r="128" spans="1:79" x14ac:dyDescent="0.4">
      <c r="BY128" s="99"/>
      <c r="BZ128" s="99"/>
      <c r="CA128" s="99"/>
    </row>
    <row r="129" spans="77:79" x14ac:dyDescent="0.4">
      <c r="BY129" s="99"/>
      <c r="BZ129" s="99"/>
      <c r="CA129" s="99"/>
    </row>
  </sheetData>
  <sheetProtection algorithmName="SHA-512" hashValue="0V03O2WaJsAHXZnuv5Eo7tGiDa/AyB+qkCr0uNIegiFB+GCNSAxR8LWObrq5yToEhZRzCFYVhmL8oRAx5mt92A==" saltValue="aeYSwiHY94nMyS9qFrgczA==" spinCount="100000" sheet="1" objects="1" scenarios="1"/>
  <mergeCells count="547">
    <mergeCell ref="G7:J7"/>
    <mergeCell ref="BZ7:CA7"/>
    <mergeCell ref="U8:Y8"/>
    <mergeCell ref="BZ8:CA8"/>
    <mergeCell ref="BZ9:CA9"/>
    <mergeCell ref="O10:Q10"/>
    <mergeCell ref="BZ10:CA10"/>
    <mergeCell ref="BZ1:CA1"/>
    <mergeCell ref="AD2:AH2"/>
    <mergeCell ref="BZ2:CA2"/>
    <mergeCell ref="AR3:BT4"/>
    <mergeCell ref="BZ3:CA3"/>
    <mergeCell ref="E4:J5"/>
    <mergeCell ref="AJ4:AK4"/>
    <mergeCell ref="BZ4:CA4"/>
    <mergeCell ref="BZ5:CA5"/>
    <mergeCell ref="C19:C21"/>
    <mergeCell ref="BZ19:CA19"/>
    <mergeCell ref="BZ20:CA20"/>
    <mergeCell ref="BZ21:CA21"/>
    <mergeCell ref="F13:H13"/>
    <mergeCell ref="BZ13:CA13"/>
    <mergeCell ref="F14:H14"/>
    <mergeCell ref="I14:K14"/>
    <mergeCell ref="O14:Q14"/>
    <mergeCell ref="W14:Z14"/>
    <mergeCell ref="BZ14:CA14"/>
    <mergeCell ref="J11:J13"/>
    <mergeCell ref="AG11:AH13"/>
    <mergeCell ref="BZ11:CA11"/>
    <mergeCell ref="R12:S12"/>
    <mergeCell ref="AC12:AD12"/>
    <mergeCell ref="BZ12:CA12"/>
    <mergeCell ref="BZ22:CA22"/>
    <mergeCell ref="BZ23:CA23"/>
    <mergeCell ref="G24:H24"/>
    <mergeCell ref="BZ24:CA24"/>
    <mergeCell ref="BZ25:CA25"/>
    <mergeCell ref="P26:R26"/>
    <mergeCell ref="BZ26:CA26"/>
    <mergeCell ref="BZ15:CA15"/>
    <mergeCell ref="BZ16:CA16"/>
    <mergeCell ref="BZ17:CA17"/>
    <mergeCell ref="AB18:AE18"/>
    <mergeCell ref="BZ18:CA18"/>
    <mergeCell ref="BZ33:CA33"/>
    <mergeCell ref="G34:J34"/>
    <mergeCell ref="BZ34:CA34"/>
    <mergeCell ref="R35:T35"/>
    <mergeCell ref="U35:W35"/>
    <mergeCell ref="AC35:AD35"/>
    <mergeCell ref="BZ35:CA35"/>
    <mergeCell ref="BZ27:CA27"/>
    <mergeCell ref="BZ28:CA28"/>
    <mergeCell ref="AZ29:BA29"/>
    <mergeCell ref="BZ29:CA29"/>
    <mergeCell ref="BZ30:CA30"/>
    <mergeCell ref="E31:J32"/>
    <mergeCell ref="BK31:BL31"/>
    <mergeCell ref="BZ31:CA31"/>
    <mergeCell ref="BZ32:CA32"/>
    <mergeCell ref="BI29:BJ29"/>
    <mergeCell ref="BD29:BH29"/>
    <mergeCell ref="BK29:BO29"/>
    <mergeCell ref="BP29:BQ29"/>
    <mergeCell ref="AZ33:BC33"/>
    <mergeCell ref="BZ42:CA42"/>
    <mergeCell ref="AH38:AI38"/>
    <mergeCell ref="BZ38:CA38"/>
    <mergeCell ref="T39:V39"/>
    <mergeCell ref="W39:X39"/>
    <mergeCell ref="BK39:BL39"/>
    <mergeCell ref="BZ39:CA39"/>
    <mergeCell ref="F36:H36"/>
    <mergeCell ref="BZ36:CA36"/>
    <mergeCell ref="F37:H37"/>
    <mergeCell ref="I37:K37"/>
    <mergeCell ref="N37:P37"/>
    <mergeCell ref="T37:Y37"/>
    <mergeCell ref="BZ37:CA37"/>
    <mergeCell ref="AZ42:BA42"/>
    <mergeCell ref="AD45:AD47"/>
    <mergeCell ref="BZ45:CA45"/>
    <mergeCell ref="O46:P46"/>
    <mergeCell ref="AB46:AB50"/>
    <mergeCell ref="BZ46:CA46"/>
    <mergeCell ref="BM47:BT47"/>
    <mergeCell ref="BZ47:CA47"/>
    <mergeCell ref="T48:X48"/>
    <mergeCell ref="C43:C44"/>
    <mergeCell ref="D43:D44"/>
    <mergeCell ref="BZ43:CA43"/>
    <mergeCell ref="M44:M45"/>
    <mergeCell ref="R44:R45"/>
    <mergeCell ref="U44:X44"/>
    <mergeCell ref="AB44:AB45"/>
    <mergeCell ref="BZ44:CA44"/>
    <mergeCell ref="C45:C48"/>
    <mergeCell ref="D45:D48"/>
    <mergeCell ref="J40:K44"/>
    <mergeCell ref="AG40:AH44"/>
    <mergeCell ref="AY40:AY41"/>
    <mergeCell ref="AZ40:BJ41"/>
    <mergeCell ref="BZ40:CA41"/>
    <mergeCell ref="I42:I43"/>
    <mergeCell ref="AD48:AD51"/>
    <mergeCell ref="BZ48:CA48"/>
    <mergeCell ref="D49:D50"/>
    <mergeCell ref="BZ49:CA49"/>
    <mergeCell ref="G50:H50"/>
    <mergeCell ref="P50:P53"/>
    <mergeCell ref="BZ50:CA50"/>
    <mergeCell ref="Y51:Z52"/>
    <mergeCell ref="AB51:AB52"/>
    <mergeCell ref="BZ51:CA51"/>
    <mergeCell ref="BZ52:CA52"/>
    <mergeCell ref="BZ53:CA53"/>
    <mergeCell ref="AS52:AV52"/>
    <mergeCell ref="AW52:BK52"/>
    <mergeCell ref="BK49:BS49"/>
    <mergeCell ref="AB54:AB55"/>
    <mergeCell ref="BW54:BW55"/>
    <mergeCell ref="BZ54:CA54"/>
    <mergeCell ref="L55:M55"/>
    <mergeCell ref="O55:P55"/>
    <mergeCell ref="R55:S55"/>
    <mergeCell ref="BZ55:CA55"/>
    <mergeCell ref="D61:G61"/>
    <mergeCell ref="L61:M61"/>
    <mergeCell ref="P61:X61"/>
    <mergeCell ref="AC61:AD61"/>
    <mergeCell ref="AG61:AL61"/>
    <mergeCell ref="BZ61:CA61"/>
    <mergeCell ref="BZ56:CA56"/>
    <mergeCell ref="BZ57:CA57"/>
    <mergeCell ref="BZ58:CA58"/>
    <mergeCell ref="BZ59:CA59"/>
    <mergeCell ref="AD60:AE60"/>
    <mergeCell ref="AH60:AK60"/>
    <mergeCell ref="BZ60:CA60"/>
    <mergeCell ref="AS53:AV54"/>
    <mergeCell ref="AS55:AV55"/>
    <mergeCell ref="AW53:BK54"/>
    <mergeCell ref="AW55:BK55"/>
    <mergeCell ref="D63:G63"/>
    <mergeCell ref="L63:M63"/>
    <mergeCell ref="P63:X63"/>
    <mergeCell ref="AC63:AD63"/>
    <mergeCell ref="AG63:AL63"/>
    <mergeCell ref="BZ63:CA63"/>
    <mergeCell ref="D62:G62"/>
    <mergeCell ref="L62:M62"/>
    <mergeCell ref="P62:X62"/>
    <mergeCell ref="AC62:AD62"/>
    <mergeCell ref="AG62:AL62"/>
    <mergeCell ref="BZ62:CA62"/>
    <mergeCell ref="D64:G64"/>
    <mergeCell ref="L64:M64"/>
    <mergeCell ref="BZ64:CA64"/>
    <mergeCell ref="BZ65:CA65"/>
    <mergeCell ref="F68:G68"/>
    <mergeCell ref="K68:L68"/>
    <mergeCell ref="O68:R68"/>
    <mergeCell ref="AA68:AD68"/>
    <mergeCell ref="AE68:AF68"/>
    <mergeCell ref="F69:G69"/>
    <mergeCell ref="K69:L69"/>
    <mergeCell ref="O69:R69"/>
    <mergeCell ref="AA69:AD69"/>
    <mergeCell ref="AE69:AF69"/>
    <mergeCell ref="F70:G70"/>
    <mergeCell ref="K70:L70"/>
    <mergeCell ref="O70:R70"/>
    <mergeCell ref="AA70:AD70"/>
    <mergeCell ref="AE70:AF70"/>
    <mergeCell ref="K73:L73"/>
    <mergeCell ref="O73:R73"/>
    <mergeCell ref="AA73:AD73"/>
    <mergeCell ref="AE73:AF73"/>
    <mergeCell ref="K74:L74"/>
    <mergeCell ref="AA74:AD74"/>
    <mergeCell ref="AE74:AF74"/>
    <mergeCell ref="F71:G71"/>
    <mergeCell ref="K71:L71"/>
    <mergeCell ref="O71:R71"/>
    <mergeCell ref="AA71:AD71"/>
    <mergeCell ref="AE71:AF71"/>
    <mergeCell ref="K72:L72"/>
    <mergeCell ref="O72:R72"/>
    <mergeCell ref="AA72:AD72"/>
    <mergeCell ref="AE72:AF72"/>
    <mergeCell ref="AA75:AD75"/>
    <mergeCell ref="AE75:AF75"/>
    <mergeCell ref="A76:B76"/>
    <mergeCell ref="C76:E76"/>
    <mergeCell ref="F76:G76"/>
    <mergeCell ref="H76:I76"/>
    <mergeCell ref="J76:K76"/>
    <mergeCell ref="L76:M76"/>
    <mergeCell ref="N76:Q76"/>
    <mergeCell ref="R76:S76"/>
    <mergeCell ref="T76:X76"/>
    <mergeCell ref="AA76:AD76"/>
    <mergeCell ref="AE76:AF76"/>
    <mergeCell ref="T77:X77"/>
    <mergeCell ref="AA77:AD77"/>
    <mergeCell ref="AE77:AF77"/>
    <mergeCell ref="A78:B78"/>
    <mergeCell ref="C78:E78"/>
    <mergeCell ref="F78:G78"/>
    <mergeCell ref="H78:I78"/>
    <mergeCell ref="J78:K78"/>
    <mergeCell ref="AE78:AF78"/>
    <mergeCell ref="L78:M78"/>
    <mergeCell ref="N78:O78"/>
    <mergeCell ref="P78:Q78"/>
    <mergeCell ref="R78:S78"/>
    <mergeCell ref="T78:X78"/>
    <mergeCell ref="AA78:AD78"/>
    <mergeCell ref="A77:B77"/>
    <mergeCell ref="C77:E77"/>
    <mergeCell ref="F77:G77"/>
    <mergeCell ref="H77:I77"/>
    <mergeCell ref="J77:K77"/>
    <mergeCell ref="L77:M77"/>
    <mergeCell ref="N77:O77"/>
    <mergeCell ref="P77:Q77"/>
    <mergeCell ref="R77:S77"/>
    <mergeCell ref="T79:X79"/>
    <mergeCell ref="AA79:AD79"/>
    <mergeCell ref="AE79:AF79"/>
    <mergeCell ref="A80:B80"/>
    <mergeCell ref="C80:E80"/>
    <mergeCell ref="F80:G80"/>
    <mergeCell ref="H80:I80"/>
    <mergeCell ref="J80:K80"/>
    <mergeCell ref="L80:M80"/>
    <mergeCell ref="N80:O80"/>
    <mergeCell ref="P80:Q80"/>
    <mergeCell ref="R80:S80"/>
    <mergeCell ref="T80:X80"/>
    <mergeCell ref="AA80:AD80"/>
    <mergeCell ref="AE80:AF80"/>
    <mergeCell ref="A79:B79"/>
    <mergeCell ref="C79:E79"/>
    <mergeCell ref="F79:G79"/>
    <mergeCell ref="H79:I79"/>
    <mergeCell ref="J79:K79"/>
    <mergeCell ref="L79:M79"/>
    <mergeCell ref="N79:O79"/>
    <mergeCell ref="P79:Q79"/>
    <mergeCell ref="R79:S79"/>
    <mergeCell ref="A81:B81"/>
    <mergeCell ref="C81:E81"/>
    <mergeCell ref="F81:G81"/>
    <mergeCell ref="H81:I81"/>
    <mergeCell ref="J81:K81"/>
    <mergeCell ref="AE81:AF81"/>
    <mergeCell ref="A82:B82"/>
    <mergeCell ref="C82:E82"/>
    <mergeCell ref="F82:G82"/>
    <mergeCell ref="H82:I82"/>
    <mergeCell ref="J82:K82"/>
    <mergeCell ref="L82:M82"/>
    <mergeCell ref="N82:O82"/>
    <mergeCell ref="P82:Q82"/>
    <mergeCell ref="R82:S82"/>
    <mergeCell ref="L81:M81"/>
    <mergeCell ref="N81:O81"/>
    <mergeCell ref="P81:Q81"/>
    <mergeCell ref="R81:S81"/>
    <mergeCell ref="T81:X81"/>
    <mergeCell ref="AA81:AD81"/>
    <mergeCell ref="T82:X82"/>
    <mergeCell ref="AA82:AD82"/>
    <mergeCell ref="AE82:AF82"/>
    <mergeCell ref="AA83:AD83"/>
    <mergeCell ref="AE83:AF83"/>
    <mergeCell ref="A84:B84"/>
    <mergeCell ref="C84:E84"/>
    <mergeCell ref="F84:G84"/>
    <mergeCell ref="H84:I84"/>
    <mergeCell ref="J84:K84"/>
    <mergeCell ref="AE84:AF84"/>
    <mergeCell ref="L84:M84"/>
    <mergeCell ref="N84:O84"/>
    <mergeCell ref="P84:Q84"/>
    <mergeCell ref="R84:S84"/>
    <mergeCell ref="T84:X84"/>
    <mergeCell ref="AA84:AD84"/>
    <mergeCell ref="A83:B83"/>
    <mergeCell ref="C83:E83"/>
    <mergeCell ref="F83:G83"/>
    <mergeCell ref="H83:I83"/>
    <mergeCell ref="J83:K83"/>
    <mergeCell ref="L83:M83"/>
    <mergeCell ref="N83:O83"/>
    <mergeCell ref="P83:Q83"/>
    <mergeCell ref="R83:S83"/>
    <mergeCell ref="C85:E85"/>
    <mergeCell ref="F85:G85"/>
    <mergeCell ref="H85:I85"/>
    <mergeCell ref="J85:K85"/>
    <mergeCell ref="L85:M85"/>
    <mergeCell ref="N85:O85"/>
    <mergeCell ref="P85:Q85"/>
    <mergeCell ref="R85:S85"/>
    <mergeCell ref="T83:X83"/>
    <mergeCell ref="C87:E87"/>
    <mergeCell ref="F87:G87"/>
    <mergeCell ref="H87:I87"/>
    <mergeCell ref="J87:K87"/>
    <mergeCell ref="T85:X85"/>
    <mergeCell ref="AA85:AD85"/>
    <mergeCell ref="AE85:AF85"/>
    <mergeCell ref="A86:B86"/>
    <mergeCell ref="C86:E86"/>
    <mergeCell ref="F86:G86"/>
    <mergeCell ref="H86:I86"/>
    <mergeCell ref="J86:K86"/>
    <mergeCell ref="L86:M86"/>
    <mergeCell ref="N86:O86"/>
    <mergeCell ref="L87:M87"/>
    <mergeCell ref="N87:O87"/>
    <mergeCell ref="P87:Q87"/>
    <mergeCell ref="R87:S87"/>
    <mergeCell ref="T87:X87"/>
    <mergeCell ref="AE87:AF87"/>
    <mergeCell ref="P86:Q86"/>
    <mergeCell ref="R86:S86"/>
    <mergeCell ref="T86:X86"/>
    <mergeCell ref="A85:B85"/>
    <mergeCell ref="AA86:AD86"/>
    <mergeCell ref="AE86:AF86"/>
    <mergeCell ref="N88:O88"/>
    <mergeCell ref="P88:Q88"/>
    <mergeCell ref="R88:S88"/>
    <mergeCell ref="T88:X88"/>
    <mergeCell ref="AA88:AC88"/>
    <mergeCell ref="A89:B89"/>
    <mergeCell ref="C89:E89"/>
    <mergeCell ref="F89:G89"/>
    <mergeCell ref="H89:I89"/>
    <mergeCell ref="J89:K89"/>
    <mergeCell ref="A88:B88"/>
    <mergeCell ref="C88:E88"/>
    <mergeCell ref="F88:G88"/>
    <mergeCell ref="H88:I88"/>
    <mergeCell ref="J88:K88"/>
    <mergeCell ref="L88:M88"/>
    <mergeCell ref="L89:M89"/>
    <mergeCell ref="N89:O89"/>
    <mergeCell ref="P89:Q89"/>
    <mergeCell ref="R89:S89"/>
    <mergeCell ref="T89:X89"/>
    <mergeCell ref="A87:B87"/>
    <mergeCell ref="A91:B91"/>
    <mergeCell ref="C91:E91"/>
    <mergeCell ref="F91:G91"/>
    <mergeCell ref="H91:I91"/>
    <mergeCell ref="J91:K91"/>
    <mergeCell ref="AF91:AG91"/>
    <mergeCell ref="A92:B92"/>
    <mergeCell ref="C92:E92"/>
    <mergeCell ref="F92:G92"/>
    <mergeCell ref="H92:I92"/>
    <mergeCell ref="J92:K92"/>
    <mergeCell ref="L92:M92"/>
    <mergeCell ref="N92:O92"/>
    <mergeCell ref="P92:Q92"/>
    <mergeCell ref="R92:S92"/>
    <mergeCell ref="L91:M91"/>
    <mergeCell ref="N91:O91"/>
    <mergeCell ref="P91:Q91"/>
    <mergeCell ref="R91:S91"/>
    <mergeCell ref="T91:X91"/>
    <mergeCell ref="AD91:AE91"/>
    <mergeCell ref="T92:X92"/>
    <mergeCell ref="AF92:AG92"/>
    <mergeCell ref="R93:S93"/>
    <mergeCell ref="T93:X93"/>
    <mergeCell ref="AD93:AE93"/>
    <mergeCell ref="AF93:AG93"/>
    <mergeCell ref="A94:B94"/>
    <mergeCell ref="C94:E94"/>
    <mergeCell ref="F94:G94"/>
    <mergeCell ref="H94:I94"/>
    <mergeCell ref="J94:K94"/>
    <mergeCell ref="L94:M94"/>
    <mergeCell ref="A93:B93"/>
    <mergeCell ref="C93:E93"/>
    <mergeCell ref="F93:G93"/>
    <mergeCell ref="H93:I93"/>
    <mergeCell ref="J93:K93"/>
    <mergeCell ref="L93:M93"/>
    <mergeCell ref="N93:O93"/>
    <mergeCell ref="P93:Q93"/>
    <mergeCell ref="N94:O94"/>
    <mergeCell ref="P94:Q94"/>
    <mergeCell ref="R94:S94"/>
    <mergeCell ref="T94:X94"/>
    <mergeCell ref="AF94:AG94"/>
    <mergeCell ref="N96:O96"/>
    <mergeCell ref="P96:Q96"/>
    <mergeCell ref="R96:S96"/>
    <mergeCell ref="T96:X96"/>
    <mergeCell ref="N95:O95"/>
    <mergeCell ref="P95:Q95"/>
    <mergeCell ref="A96:B96"/>
    <mergeCell ref="C96:E96"/>
    <mergeCell ref="F96:G96"/>
    <mergeCell ref="H96:I96"/>
    <mergeCell ref="J96:K96"/>
    <mergeCell ref="L96:M96"/>
    <mergeCell ref="R95:S95"/>
    <mergeCell ref="T95:X95"/>
    <mergeCell ref="AF95:AG95"/>
    <mergeCell ref="A95:B95"/>
    <mergeCell ref="C95:E95"/>
    <mergeCell ref="F95:G95"/>
    <mergeCell ref="H95:I95"/>
    <mergeCell ref="J95:K95"/>
    <mergeCell ref="L95:M95"/>
    <mergeCell ref="AT97:AU97"/>
    <mergeCell ref="A98:B98"/>
    <mergeCell ref="C98:E98"/>
    <mergeCell ref="F98:G98"/>
    <mergeCell ref="H98:I98"/>
    <mergeCell ref="J98:K98"/>
    <mergeCell ref="N97:O97"/>
    <mergeCell ref="P97:Q97"/>
    <mergeCell ref="R97:S97"/>
    <mergeCell ref="T97:X97"/>
    <mergeCell ref="AF97:AG97"/>
    <mergeCell ref="AH97:AI97"/>
    <mergeCell ref="AC98:AE98"/>
    <mergeCell ref="L98:M98"/>
    <mergeCell ref="N98:O98"/>
    <mergeCell ref="P98:Q98"/>
    <mergeCell ref="R98:S98"/>
    <mergeCell ref="T98:X98"/>
    <mergeCell ref="AA98:AB98"/>
    <mergeCell ref="A97:B97"/>
    <mergeCell ref="C97:E97"/>
    <mergeCell ref="F97:G97"/>
    <mergeCell ref="H97:I97"/>
    <mergeCell ref="J97:K97"/>
    <mergeCell ref="J99:K99"/>
    <mergeCell ref="L99:M99"/>
    <mergeCell ref="N99:O99"/>
    <mergeCell ref="P99:Q99"/>
    <mergeCell ref="R99:S99"/>
    <mergeCell ref="AJ97:AM97"/>
    <mergeCell ref="AN97:AO97"/>
    <mergeCell ref="AP97:AQ97"/>
    <mergeCell ref="AR97:AS97"/>
    <mergeCell ref="L97:M97"/>
    <mergeCell ref="A103:B103"/>
    <mergeCell ref="C103:E103"/>
    <mergeCell ref="F103:G103"/>
    <mergeCell ref="H103:I103"/>
    <mergeCell ref="J103:K103"/>
    <mergeCell ref="L103:M103"/>
    <mergeCell ref="N103:O103"/>
    <mergeCell ref="T99:X99"/>
    <mergeCell ref="AA99:AB99"/>
    <mergeCell ref="A100:B100"/>
    <mergeCell ref="C100:E100"/>
    <mergeCell ref="F100:G100"/>
    <mergeCell ref="H100:I100"/>
    <mergeCell ref="J100:K100"/>
    <mergeCell ref="L100:M100"/>
    <mergeCell ref="N100:O100"/>
    <mergeCell ref="P100:Q100"/>
    <mergeCell ref="R100:S100"/>
    <mergeCell ref="T100:X100"/>
    <mergeCell ref="AA100:AB100"/>
    <mergeCell ref="A99:B99"/>
    <mergeCell ref="C99:E99"/>
    <mergeCell ref="F99:G99"/>
    <mergeCell ref="H99:I99"/>
    <mergeCell ref="P101:Q101"/>
    <mergeCell ref="R101:S101"/>
    <mergeCell ref="T101:X101"/>
    <mergeCell ref="AA101:AB101"/>
    <mergeCell ref="N101:O101"/>
    <mergeCell ref="A102:B102"/>
    <mergeCell ref="C102:E102"/>
    <mergeCell ref="F102:G102"/>
    <mergeCell ref="H102:I102"/>
    <mergeCell ref="J102:K102"/>
    <mergeCell ref="L102:M102"/>
    <mergeCell ref="A101:B101"/>
    <mergeCell ref="C101:E101"/>
    <mergeCell ref="F101:G101"/>
    <mergeCell ref="H101:I101"/>
    <mergeCell ref="J101:K101"/>
    <mergeCell ref="L101:M101"/>
    <mergeCell ref="P103:Q103"/>
    <mergeCell ref="R103:S103"/>
    <mergeCell ref="T103:X103"/>
    <mergeCell ref="AA103:AB103"/>
    <mergeCell ref="N102:O102"/>
    <mergeCell ref="P102:Q102"/>
    <mergeCell ref="R102:S102"/>
    <mergeCell ref="T102:X102"/>
    <mergeCell ref="AA102:AB102"/>
    <mergeCell ref="I107:J107"/>
    <mergeCell ref="K107:L107"/>
    <mergeCell ref="A108:B108"/>
    <mergeCell ref="C108:D108"/>
    <mergeCell ref="E108:F108"/>
    <mergeCell ref="G108:H108"/>
    <mergeCell ref="I108:J108"/>
    <mergeCell ref="K108:L108"/>
    <mergeCell ref="A105:B105"/>
    <mergeCell ref="G105:H105"/>
    <mergeCell ref="A106:B106"/>
    <mergeCell ref="C106:E106"/>
    <mergeCell ref="A107:B107"/>
    <mergeCell ref="C107:D107"/>
    <mergeCell ref="E107:F107"/>
    <mergeCell ref="G107:H107"/>
    <mergeCell ref="A110:B110"/>
    <mergeCell ref="C110:D110"/>
    <mergeCell ref="E110:F110"/>
    <mergeCell ref="G110:H110"/>
    <mergeCell ref="I110:J110"/>
    <mergeCell ref="K110:L110"/>
    <mergeCell ref="A109:B109"/>
    <mergeCell ref="C109:D109"/>
    <mergeCell ref="E109:F109"/>
    <mergeCell ref="G109:H109"/>
    <mergeCell ref="I109:J109"/>
    <mergeCell ref="K109:L109"/>
    <mergeCell ref="A112:B112"/>
    <mergeCell ref="C112:D112"/>
    <mergeCell ref="E112:F112"/>
    <mergeCell ref="G112:H112"/>
    <mergeCell ref="I112:J112"/>
    <mergeCell ref="K112:L112"/>
    <mergeCell ref="A111:B111"/>
    <mergeCell ref="C111:D111"/>
    <mergeCell ref="E111:F111"/>
    <mergeCell ref="G111:H111"/>
    <mergeCell ref="I111:J111"/>
    <mergeCell ref="K111:L111"/>
  </mergeCells>
  <phoneticPr fontId="1"/>
  <conditionalFormatting sqref="AG60:AL60 AA61:AM63 AN64:AO66">
    <cfRule type="expression" dxfId="32" priority="1" stopIfTrue="1">
      <formula>$AD$60="無"</formula>
    </cfRule>
  </conditionalFormatting>
  <conditionalFormatting sqref="BM54:BO54">
    <cfRule type="expression" priority="16" stopIfTrue="1">
      <formula>$AH$60="パターン②"</formula>
    </cfRule>
  </conditionalFormatting>
  <conditionalFormatting sqref="BM54:BQ54 BP55:BQ55">
    <cfRule type="expression" dxfId="31" priority="15" stopIfTrue="1">
      <formula>$AD$60="無"</formula>
    </cfRule>
  </conditionalFormatting>
  <conditionalFormatting sqref="BL47:BT47 BU46:BW62 BR54:BT55 BL50:BL54 BM50:BT53 BP48:BT48 BL56:BT62 BT49 BV45:BW45">
    <cfRule type="expression" dxfId="30" priority="2" stopIfTrue="1">
      <formula>$AD$60="無"</formula>
    </cfRule>
  </conditionalFormatting>
  <conditionalFormatting sqref="BP54:BP55">
    <cfRule type="expression" dxfId="29" priority="17" stopIfTrue="1">
      <formula>$AH$60="パターン②"</formula>
    </cfRule>
  </conditionalFormatting>
  <conditionalFormatting sqref="BP58 BR58:BT58">
    <cfRule type="expression" dxfId="28" priority="7" stopIfTrue="1">
      <formula>$AH$60="パターン②"</formula>
    </cfRule>
  </conditionalFormatting>
  <conditionalFormatting sqref="BQ47:BT48 BU46:BU58 BL47:BP47 BV45:BW62 BQ52 BR54:BT55 BP56:BP57 BQ57:BT57 BP59:BP62 BR59:BR62 BT59:BT62 BQ60:BQ62 BS60:BS62 BU60:BU62 BL50:BL54 BM50:BP53 BP48 BL56:BO62 BR50:BT52 BT49">
    <cfRule type="expression" priority="3" stopIfTrue="1">
      <formula>$AH$60="パターン②"</formula>
    </cfRule>
  </conditionalFormatting>
  <conditionalFormatting sqref="BQ50">
    <cfRule type="expression" dxfId="27" priority="9" stopIfTrue="1">
      <formula>$AH$60="パターン②"</formula>
    </cfRule>
  </conditionalFormatting>
  <conditionalFormatting sqref="BQ51">
    <cfRule type="expression" dxfId="26" priority="8" stopIfTrue="1">
      <formula>$AH$60="パターン②"</formula>
    </cfRule>
  </conditionalFormatting>
  <conditionalFormatting sqref="BQ53 BQ56">
    <cfRule type="expression" dxfId="25" priority="12" stopIfTrue="1">
      <formula>$AH$60="パターン②"</formula>
    </cfRule>
  </conditionalFormatting>
  <conditionalFormatting sqref="BQ54">
    <cfRule type="expression" dxfId="24" priority="18" stopIfTrue="1">
      <formula>$AH$60="パターン②"</formula>
    </cfRule>
  </conditionalFormatting>
  <conditionalFormatting sqref="BQ55">
    <cfRule type="expression" dxfId="23" priority="19" stopIfTrue="1">
      <formula>$AH$60="パターン②"</formula>
    </cfRule>
  </conditionalFormatting>
  <conditionalFormatting sqref="BQ58">
    <cfRule type="expression" dxfId="22" priority="5" stopIfTrue="1">
      <formula>$AH$60="パターン②"</formula>
    </cfRule>
  </conditionalFormatting>
  <conditionalFormatting sqref="BQ59">
    <cfRule type="expression" dxfId="21" priority="6" stopIfTrue="1">
      <formula>$AH$60="パターン②"</formula>
    </cfRule>
  </conditionalFormatting>
  <conditionalFormatting sqref="BR53:BT53">
    <cfRule type="expression" dxfId="20" priority="10" stopIfTrue="1">
      <formula>$AH$60="パターン②"</formula>
    </cfRule>
  </conditionalFormatting>
  <conditionalFormatting sqref="BR56:BT56">
    <cfRule type="expression" dxfId="19" priority="11" stopIfTrue="1">
      <formula>$AH$60="パターン②"</formula>
    </cfRule>
  </conditionalFormatting>
  <conditionalFormatting sqref="BS59 BU59">
    <cfRule type="expression" dxfId="18" priority="4" stopIfTrue="1">
      <formula>$AH$60="パターン②"</formula>
    </cfRule>
  </conditionalFormatting>
  <conditionalFormatting sqref="BX45:BX62">
    <cfRule type="expression" dxfId="17" priority="13" stopIfTrue="1">
      <formula>$AD$60="無"</formula>
    </cfRule>
    <cfRule type="expression" priority="14" stopIfTrue="1">
      <formula>$AH$60="パターン②"</formula>
    </cfRule>
  </conditionalFormatting>
  <dataValidations count="8">
    <dataValidation type="list" allowBlank="1" showInputMessage="1" showErrorMessage="1" sqref="BK39">
      <formula1>"最大,平均"</formula1>
    </dataValidation>
    <dataValidation type="list" allowBlank="1" showInputMessage="1" showErrorMessage="1" sqref="AA88:AC88">
      <formula1>"片勾配,両勾配"</formula1>
    </dataValidation>
    <dataValidation type="list" allowBlank="1" showInputMessage="1" showErrorMessage="1" sqref="D64:G64">
      <formula1>"1,2"</formula1>
    </dataValidation>
    <dataValidation type="list" allowBlank="1" showInputMessage="1" showErrorMessage="1" sqref="AB18:AE18">
      <formula1>$AA$70:$AA$87</formula1>
    </dataValidation>
    <dataValidation type="list" allowBlank="1" showInputMessage="1" showErrorMessage="1" sqref="AD60:AE60 BK31:BL31">
      <formula1>"有,無"</formula1>
    </dataValidation>
    <dataValidation type="list" allowBlank="1" showInputMessage="1" showErrorMessage="1" sqref="H62 D62">
      <formula1>"アスファルト,コンクリート,ｲﾝﾀｰﾛｯｷﾝｸﾞ"</formula1>
    </dataValidation>
    <dataValidation type="list" allowBlank="1" showInputMessage="1" showErrorMessage="1" sqref="D63">
      <formula1>"Ｅタイプ,Ｌタイプ,Ａタイプ,Ｂタイプ,標準,乗入れ"</formula1>
    </dataValidation>
    <dataValidation type="list" allowBlank="1" showInputMessage="1" showErrorMessage="1" sqref="D61:G61">
      <formula1>"車　道,歩　道"</formula1>
    </dataValidation>
  </dataValidations>
  <printOptions verticalCentered="1"/>
  <pageMargins left="0.78740157480314965" right="0.39370078740157483" top="0.39370078740157483" bottom="0.39370078740157483" header="0.51181102362204722" footer="0.51181102362204722"/>
  <pageSetup paperSize="8" scale="9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129"/>
  <sheetViews>
    <sheetView showGridLines="0" view="pageBreakPreview" topLeftCell="A16" zoomScale="85" zoomScaleNormal="85" zoomScaleSheetLayoutView="85" workbookViewId="0">
      <selection activeCell="AO22" sqref="AO22"/>
    </sheetView>
  </sheetViews>
  <sheetFormatPr defaultRowHeight="18.75" x14ac:dyDescent="0.4"/>
  <cols>
    <col min="1" max="20" width="2.625" style="100" customWidth="1"/>
    <col min="21" max="24" width="0.875" style="100" customWidth="1"/>
    <col min="25" max="76" width="2.625" style="100" customWidth="1"/>
    <col min="77" max="78" width="2.625" style="100" hidden="1" customWidth="1"/>
    <col min="79" max="79" width="3.625" style="100" hidden="1" customWidth="1"/>
    <col min="80" max="81" width="0" style="100" hidden="1" customWidth="1"/>
    <col min="82" max="16384" width="9" style="100"/>
  </cols>
  <sheetData>
    <row r="1" spans="1:80" ht="13.5" customHeight="1" x14ac:dyDescent="0.4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60"/>
      <c r="BW1" s="160"/>
      <c r="BX1" s="161"/>
      <c r="BY1" s="99"/>
      <c r="BZ1" s="292"/>
      <c r="CA1" s="292"/>
      <c r="CB1" s="99"/>
    </row>
    <row r="2" spans="1:80" ht="13.5" customHeight="1" x14ac:dyDescent="0.4">
      <c r="A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62" t="s">
        <v>96</v>
      </c>
      <c r="AD2" s="298" t="str">
        <f>IF('計画図面（提出用）'!AD2:AH2="","",'計画図面（提出用）'!AD2:AH2)</f>
        <v/>
      </c>
      <c r="AE2" s="298"/>
      <c r="AF2" s="298"/>
      <c r="AG2" s="298"/>
      <c r="AH2" s="298"/>
      <c r="AI2" s="160" t="s">
        <v>97</v>
      </c>
      <c r="AJ2" s="160"/>
      <c r="AK2" s="160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60"/>
      <c r="BW2" s="160"/>
      <c r="BX2" s="161"/>
      <c r="BY2" s="99"/>
      <c r="BZ2" s="201"/>
      <c r="CA2" s="201"/>
      <c r="CB2" s="99"/>
    </row>
    <row r="3" spans="1:80" ht="13.5" customHeight="1" x14ac:dyDescent="0.4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63"/>
      <c r="AD3" s="164"/>
      <c r="AE3" s="165" t="s">
        <v>98</v>
      </c>
      <c r="AF3" s="165">
        <f>D64</f>
        <v>1</v>
      </c>
      <c r="AG3" s="160" t="s">
        <v>99</v>
      </c>
      <c r="AH3" s="160"/>
      <c r="AI3" s="159"/>
      <c r="AJ3" s="160"/>
      <c r="AK3" s="160"/>
      <c r="AL3" s="159"/>
      <c r="AM3" s="159"/>
      <c r="AN3" s="159"/>
      <c r="AO3" s="159"/>
      <c r="AP3" s="159"/>
      <c r="AQ3" s="159"/>
      <c r="AR3" s="294" t="s">
        <v>100</v>
      </c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159"/>
      <c r="BV3" s="160"/>
      <c r="BW3" s="160"/>
      <c r="BX3" s="161"/>
      <c r="BY3" s="99"/>
      <c r="BZ3" s="201"/>
      <c r="CA3" s="201"/>
      <c r="CB3" s="99"/>
    </row>
    <row r="4" spans="1:80" ht="13.5" customHeight="1" x14ac:dyDescent="0.4">
      <c r="A4" s="159"/>
      <c r="B4" s="159"/>
      <c r="C4" s="159"/>
      <c r="D4" s="159"/>
      <c r="E4" s="276" t="s">
        <v>101</v>
      </c>
      <c r="F4" s="276"/>
      <c r="G4" s="276"/>
      <c r="H4" s="276"/>
      <c r="I4" s="276"/>
      <c r="J4" s="276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229" t="s">
        <v>102</v>
      </c>
      <c r="AK4" s="229"/>
      <c r="AL4" s="159"/>
      <c r="AM4" s="159"/>
      <c r="AN4" s="159"/>
      <c r="AO4" s="159"/>
      <c r="AP4" s="159"/>
      <c r="AQ4" s="159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159"/>
      <c r="BV4" s="160"/>
      <c r="BW4" s="160"/>
      <c r="BX4" s="161"/>
      <c r="BY4" s="99"/>
      <c r="BZ4" s="201"/>
      <c r="CA4" s="201"/>
      <c r="CB4" s="99"/>
    </row>
    <row r="5" spans="1:80" ht="13.5" customHeight="1" x14ac:dyDescent="0.4">
      <c r="A5" s="159"/>
      <c r="B5" s="159"/>
      <c r="C5" s="159"/>
      <c r="D5" s="159"/>
      <c r="E5" s="276"/>
      <c r="F5" s="276"/>
      <c r="G5" s="276"/>
      <c r="H5" s="276"/>
      <c r="I5" s="276"/>
      <c r="J5" s="276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59"/>
      <c r="BV5" s="160"/>
      <c r="BW5" s="160"/>
      <c r="BX5" s="161"/>
      <c r="BY5" s="99"/>
      <c r="BZ5" s="201"/>
      <c r="CA5" s="201"/>
      <c r="CB5" s="99"/>
    </row>
    <row r="6" spans="1:80" ht="13.5" customHeight="1" x14ac:dyDescent="0.3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 t="s">
        <v>103</v>
      </c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59"/>
      <c r="BV6" s="160"/>
      <c r="BW6" s="160"/>
      <c r="BX6" s="161"/>
      <c r="BY6" s="99"/>
      <c r="BZ6" s="99" t="s">
        <v>104</v>
      </c>
      <c r="CA6" s="99"/>
      <c r="CB6" s="99"/>
    </row>
    <row r="7" spans="1:80" ht="13.5" customHeight="1" x14ac:dyDescent="0.4">
      <c r="A7" s="159"/>
      <c r="B7" s="159"/>
      <c r="C7" s="159"/>
      <c r="D7" s="159"/>
      <c r="E7" s="159"/>
      <c r="F7" s="159"/>
      <c r="G7" s="229" t="s">
        <v>105</v>
      </c>
      <c r="H7" s="229"/>
      <c r="I7" s="229"/>
      <c r="J7" s="22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 t="s">
        <v>106</v>
      </c>
      <c r="AT7" s="159"/>
      <c r="AU7" s="159"/>
      <c r="AV7" s="159"/>
      <c r="AW7" s="159"/>
      <c r="AX7" s="159" t="str">
        <f>"（既存"&amp;T39&amp;"舗装厚 "&amp;Q39&amp;"㎝）"</f>
        <v>（既存Ａｓ舗装厚 5㎝）</v>
      </c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60"/>
      <c r="BW7" s="160"/>
      <c r="BX7" s="161"/>
      <c r="BY7" s="106"/>
      <c r="BZ7" s="201"/>
      <c r="CA7" s="201"/>
      <c r="CB7" s="99"/>
    </row>
    <row r="8" spans="1:80" ht="13.5" customHeight="1" x14ac:dyDescent="0.4">
      <c r="A8" s="159"/>
      <c r="B8" s="159"/>
      <c r="C8" s="159"/>
      <c r="D8" s="159"/>
      <c r="E8" s="159"/>
      <c r="F8" s="159"/>
      <c r="G8" s="159"/>
      <c r="H8" s="159"/>
      <c r="I8" s="107"/>
      <c r="J8" s="159"/>
      <c r="K8" s="159"/>
      <c r="L8" s="101"/>
      <c r="M8" s="159"/>
      <c r="N8" s="159"/>
      <c r="O8" s="159"/>
      <c r="P8" s="159"/>
      <c r="Q8" s="159"/>
      <c r="R8" s="159"/>
      <c r="S8" s="159"/>
      <c r="T8" s="163" t="s">
        <v>107</v>
      </c>
      <c r="U8" s="291">
        <v>5</v>
      </c>
      <c r="V8" s="291"/>
      <c r="W8" s="291"/>
      <c r="X8" s="291"/>
      <c r="Y8" s="291"/>
      <c r="Z8" s="159" t="s">
        <v>108</v>
      </c>
      <c r="AA8" s="159"/>
      <c r="AB8" s="159"/>
      <c r="AC8" s="159"/>
      <c r="AD8" s="159"/>
      <c r="AE8" s="159"/>
      <c r="AF8" s="103"/>
      <c r="AG8" s="101"/>
      <c r="AH8" s="108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 t="s">
        <v>109</v>
      </c>
      <c r="AU8" s="159"/>
      <c r="AV8" s="159"/>
      <c r="AW8" s="159"/>
      <c r="AX8" s="159"/>
      <c r="AY8" s="159"/>
      <c r="AZ8" s="159" t="str">
        <f>R12&amp;"×2"&amp;"＋"&amp;C19&amp;"＝　"&amp;BZ8&amp;"ｍ"</f>
        <v>2.5×2＋0.9＝　5.9ｍ</v>
      </c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60"/>
      <c r="BW8" s="160"/>
      <c r="BX8" s="161"/>
      <c r="BY8" s="106"/>
      <c r="BZ8" s="201">
        <f>ROUNDDOWN(R12*2+C19,3)</f>
        <v>5.9</v>
      </c>
      <c r="CA8" s="201"/>
      <c r="CB8" s="99"/>
    </row>
    <row r="9" spans="1:80" ht="13.5" customHeight="1" x14ac:dyDescent="0.4">
      <c r="A9" s="159"/>
      <c r="B9" s="159"/>
      <c r="C9" s="159"/>
      <c r="D9" s="159"/>
      <c r="E9" s="159"/>
      <c r="F9" s="159"/>
      <c r="G9" s="159"/>
      <c r="H9" s="159"/>
      <c r="I9" s="107"/>
      <c r="J9" s="159"/>
      <c r="K9" s="103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01"/>
      <c r="AH9" s="108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 t="s">
        <v>110</v>
      </c>
      <c r="AU9" s="159"/>
      <c r="AV9" s="159"/>
      <c r="AW9" s="159"/>
      <c r="AX9" s="159"/>
      <c r="AY9" s="159"/>
      <c r="AZ9" s="159" t="str">
        <f>R12&amp;"×"&amp;C19&amp;"＝　"&amp;BZ9&amp;"ｍ2"</f>
        <v>2.5×0.9＝　2.25ｍ2</v>
      </c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60"/>
      <c r="BW9" s="160"/>
      <c r="BX9" s="161"/>
      <c r="BY9" s="106"/>
      <c r="BZ9" s="201">
        <f>ROUNDDOWN(R12*C19,3)</f>
        <v>2.25</v>
      </c>
      <c r="CA9" s="201"/>
      <c r="CB9" s="99"/>
    </row>
    <row r="10" spans="1:80" ht="13.5" customHeight="1" x14ac:dyDescent="0.4">
      <c r="A10" s="159"/>
      <c r="B10" s="159"/>
      <c r="C10" s="159"/>
      <c r="D10" s="159"/>
      <c r="E10" s="159"/>
      <c r="F10" s="159"/>
      <c r="G10" s="159"/>
      <c r="H10" s="159"/>
      <c r="I10" s="107"/>
      <c r="J10" s="159"/>
      <c r="K10" s="103"/>
      <c r="L10" s="159"/>
      <c r="M10" s="159"/>
      <c r="N10" s="163" t="s">
        <v>111</v>
      </c>
      <c r="O10" s="235">
        <f>F14+I14+O14+W14</f>
        <v>3.45</v>
      </c>
      <c r="P10" s="235"/>
      <c r="Q10" s="235"/>
      <c r="R10" s="159" t="s">
        <v>108</v>
      </c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01"/>
      <c r="AH10" s="108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 t="s">
        <v>112</v>
      </c>
      <c r="AU10" s="159"/>
      <c r="AV10" s="159"/>
      <c r="AW10" s="159"/>
      <c r="AX10" s="159"/>
      <c r="AY10" s="159"/>
      <c r="AZ10" s="159" t="str">
        <f>BZ9&amp;"×"&amp;Q39/100&amp;"＝　"&amp;BZ10&amp;"ｍ3"</f>
        <v>2.25×0.05＝　0.112ｍ3</v>
      </c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60"/>
      <c r="BW10" s="160"/>
      <c r="BX10" s="161"/>
      <c r="BY10" s="106"/>
      <c r="BZ10" s="201">
        <f>ROUNDDOWN(BZ9*Q39/100,3)</f>
        <v>0.112</v>
      </c>
      <c r="CA10" s="201"/>
      <c r="CB10" s="99"/>
    </row>
    <row r="11" spans="1:80" ht="13.5" customHeight="1" x14ac:dyDescent="0.4">
      <c r="A11" s="159"/>
      <c r="B11" s="159"/>
      <c r="C11" s="159"/>
      <c r="D11" s="159"/>
      <c r="E11" s="159"/>
      <c r="F11" s="101"/>
      <c r="G11" s="159"/>
      <c r="H11" s="159"/>
      <c r="I11" s="107"/>
      <c r="J11" s="261" t="s">
        <v>113</v>
      </c>
      <c r="K11" s="103"/>
      <c r="L11" s="159"/>
      <c r="M11" s="159"/>
      <c r="N11" s="163"/>
      <c r="O11" s="164"/>
      <c r="P11" s="164"/>
      <c r="Q11" s="164"/>
      <c r="R11" s="159"/>
      <c r="S11" s="159"/>
      <c r="T11" s="159"/>
      <c r="U11" s="159"/>
      <c r="V11" s="159"/>
      <c r="W11" s="159"/>
      <c r="X11" s="159"/>
      <c r="Y11" s="159"/>
      <c r="Z11" s="103"/>
      <c r="AA11" s="159"/>
      <c r="AB11" s="159"/>
      <c r="AC11" s="159"/>
      <c r="AD11" s="159"/>
      <c r="AE11" s="159"/>
      <c r="AF11" s="159"/>
      <c r="AG11" s="289" t="s">
        <v>114</v>
      </c>
      <c r="AH11" s="262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 t="s">
        <v>115</v>
      </c>
      <c r="AU11" s="159"/>
      <c r="AV11" s="159"/>
      <c r="AW11" s="159"/>
      <c r="AX11" s="159"/>
      <c r="AY11" s="159"/>
      <c r="AZ11" s="159" t="str">
        <f>BZ10&amp;"×"&amp;IF(T39="Ａｓ",2.3,2.35)&amp;"＝　"&amp;BZ11&amp;"ｔ"</f>
        <v>0.112×2.3＝　0.257ｔ</v>
      </c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60"/>
      <c r="BW11" s="160"/>
      <c r="BX11" s="161"/>
      <c r="BY11" s="99"/>
      <c r="BZ11" s="201">
        <f>ROUNDDOWN(BZ10*IF(T39="Ａｓ",2.3,2.35),3)</f>
        <v>0.25700000000000001</v>
      </c>
      <c r="CA11" s="201"/>
      <c r="CB11" s="99"/>
    </row>
    <row r="12" spans="1:80" ht="13.5" customHeight="1" x14ac:dyDescent="0.4">
      <c r="A12" s="159"/>
      <c r="B12" s="159"/>
      <c r="C12" s="159"/>
      <c r="D12" s="159"/>
      <c r="E12" s="159"/>
      <c r="F12" s="101"/>
      <c r="G12" s="159"/>
      <c r="H12" s="159"/>
      <c r="I12" s="107"/>
      <c r="J12" s="261"/>
      <c r="K12" s="103"/>
      <c r="L12" s="159"/>
      <c r="M12" s="159"/>
      <c r="N12" s="159"/>
      <c r="O12" s="159"/>
      <c r="P12" s="159"/>
      <c r="Q12" s="163" t="s">
        <v>116</v>
      </c>
      <c r="R12" s="235">
        <f>O14+W14</f>
        <v>2.5</v>
      </c>
      <c r="S12" s="235"/>
      <c r="T12" s="164" t="s">
        <v>108</v>
      </c>
      <c r="U12" s="159"/>
      <c r="V12" s="159"/>
      <c r="W12" s="159"/>
      <c r="X12" s="159"/>
      <c r="Y12" s="159"/>
      <c r="Z12" s="103"/>
      <c r="AA12" s="159"/>
      <c r="AB12" s="159"/>
      <c r="AC12" s="290">
        <f>U8-R12</f>
        <v>2.5</v>
      </c>
      <c r="AD12" s="229"/>
      <c r="AE12" s="159" t="s">
        <v>108</v>
      </c>
      <c r="AF12" s="159"/>
      <c r="AG12" s="289"/>
      <c r="AH12" s="262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60"/>
      <c r="BW12" s="160"/>
      <c r="BX12" s="161"/>
      <c r="BY12" s="99"/>
      <c r="BZ12" s="201"/>
      <c r="CA12" s="201"/>
      <c r="CB12" s="99"/>
    </row>
    <row r="13" spans="1:80" ht="13.5" customHeight="1" x14ac:dyDescent="0.4">
      <c r="A13" s="159"/>
      <c r="B13" s="159"/>
      <c r="C13" s="159"/>
      <c r="D13" s="159"/>
      <c r="E13" s="159"/>
      <c r="F13" s="244" t="s">
        <v>117</v>
      </c>
      <c r="G13" s="229"/>
      <c r="H13" s="245"/>
      <c r="I13" s="109"/>
      <c r="J13" s="261"/>
      <c r="K13" s="110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03"/>
      <c r="AA13" s="159"/>
      <c r="AB13" s="159"/>
      <c r="AC13" s="159"/>
      <c r="AD13" s="159"/>
      <c r="AE13" s="159"/>
      <c r="AF13" s="159"/>
      <c r="AG13" s="289"/>
      <c r="AH13" s="262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 t="s">
        <v>118</v>
      </c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60"/>
      <c r="BW13" s="160"/>
      <c r="BX13" s="161"/>
      <c r="BY13" s="106"/>
      <c r="BZ13" s="201"/>
      <c r="CA13" s="201"/>
      <c r="CB13" s="99"/>
    </row>
    <row r="14" spans="1:80" ht="13.5" customHeight="1" x14ac:dyDescent="0.4">
      <c r="A14" s="159"/>
      <c r="B14" s="159"/>
      <c r="C14" s="159"/>
      <c r="D14" s="159"/>
      <c r="E14" s="159"/>
      <c r="F14" s="282">
        <v>0.5</v>
      </c>
      <c r="G14" s="283"/>
      <c r="H14" s="284"/>
      <c r="I14" s="285">
        <v>0.45</v>
      </c>
      <c r="J14" s="275"/>
      <c r="K14" s="286"/>
      <c r="L14" s="164"/>
      <c r="M14" s="164"/>
      <c r="N14" s="164"/>
      <c r="O14" s="287">
        <v>2</v>
      </c>
      <c r="P14" s="287"/>
      <c r="Q14" s="287"/>
      <c r="R14" s="164"/>
      <c r="S14" s="164"/>
      <c r="T14" s="164"/>
      <c r="U14" s="164"/>
      <c r="V14" s="110"/>
      <c r="W14" s="283">
        <v>0.5</v>
      </c>
      <c r="X14" s="283"/>
      <c r="Y14" s="283"/>
      <c r="Z14" s="288"/>
      <c r="AA14" s="159"/>
      <c r="AB14" s="159"/>
      <c r="AC14" s="159"/>
      <c r="AD14" s="159"/>
      <c r="AE14" s="159"/>
      <c r="AF14" s="159"/>
      <c r="AG14" s="101"/>
      <c r="AH14" s="108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 t="s">
        <v>119</v>
      </c>
      <c r="AU14" s="159"/>
      <c r="AV14" s="159"/>
      <c r="AW14" s="159"/>
      <c r="AX14" s="159"/>
      <c r="AY14" s="159" t="s">
        <v>120</v>
      </c>
      <c r="AZ14" s="159" t="str">
        <f>C43&amp;"×"&amp;F37&amp;"×"&amp;C19&amp;"＝　"&amp;BZ14&amp;"ｍ3"</f>
        <v>1.3×0.5×0.9＝　0.585ｍ3</v>
      </c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60"/>
      <c r="BW14" s="160"/>
      <c r="BX14" s="161"/>
      <c r="BY14" s="106"/>
      <c r="BZ14" s="201">
        <f>ROUNDDOWN(C43*F37*C19,3)</f>
        <v>0.58499999999999996</v>
      </c>
      <c r="CA14" s="201"/>
      <c r="CB14" s="99"/>
    </row>
    <row r="15" spans="1:80" ht="13.5" customHeight="1" x14ac:dyDescent="0.4">
      <c r="A15" s="159"/>
      <c r="B15" s="159"/>
      <c r="C15" s="159"/>
      <c r="D15" s="159"/>
      <c r="E15" s="159"/>
      <c r="F15" s="101"/>
      <c r="G15" s="159"/>
      <c r="H15" s="108"/>
      <c r="I15" s="109"/>
      <c r="J15" s="164"/>
      <c r="K15" s="110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10"/>
      <c r="W15" s="164"/>
      <c r="X15" s="164"/>
      <c r="Y15" s="164"/>
      <c r="Z15" s="110"/>
      <c r="AA15" s="159"/>
      <c r="AB15" s="159"/>
      <c r="AC15" s="159"/>
      <c r="AD15" s="159"/>
      <c r="AE15" s="159"/>
      <c r="AF15" s="159"/>
      <c r="AG15" s="101"/>
      <c r="AH15" s="108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 t="s">
        <v>121</v>
      </c>
      <c r="AZ15" s="159" t="str">
        <f>"（"&amp;M44-Q39/100&amp;"＋"&amp;R44-Q39/100&amp;"）÷2"&amp;"×"&amp;N37&amp;"×"&amp;C19&amp;"＝　"&amp;BZ15&amp;"ｍ3"</f>
        <v>（1.32＋1.45）÷2×1.5×0.9＝　1.869ｍ3</v>
      </c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60"/>
      <c r="BW15" s="160"/>
      <c r="BX15" s="161"/>
      <c r="BY15" s="106"/>
      <c r="BZ15" s="201">
        <f>ROUNDDOWN(((M44-Q39/100)+(R44-Q39/100))/2*N37*C19,3)</f>
        <v>1.869</v>
      </c>
      <c r="CA15" s="201"/>
      <c r="CB15" s="99"/>
    </row>
    <row r="16" spans="1:80" ht="13.5" customHeight="1" x14ac:dyDescent="0.4">
      <c r="A16" s="159"/>
      <c r="B16" s="159"/>
      <c r="C16" s="159"/>
      <c r="D16" s="159"/>
      <c r="E16" s="159"/>
      <c r="F16" s="101"/>
      <c r="G16" s="159"/>
      <c r="H16" s="108"/>
      <c r="I16" s="107"/>
      <c r="J16" s="159"/>
      <c r="K16" s="103"/>
      <c r="L16" s="159"/>
      <c r="M16" s="159"/>
      <c r="N16" s="159"/>
      <c r="O16" s="159"/>
      <c r="P16" s="159"/>
      <c r="Q16" s="159"/>
      <c r="R16" s="159"/>
      <c r="S16" s="159"/>
      <c r="T16" s="159"/>
      <c r="U16" s="111"/>
      <c r="V16" s="112"/>
      <c r="W16" s="159"/>
      <c r="X16" s="113"/>
      <c r="Y16" s="159"/>
      <c r="Z16" s="103"/>
      <c r="AA16" s="159"/>
      <c r="AB16" s="159"/>
      <c r="AC16" s="159"/>
      <c r="AD16" s="159"/>
      <c r="AE16" s="159"/>
      <c r="AF16" s="159"/>
      <c r="AG16" s="101"/>
      <c r="AH16" s="108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 t="s">
        <v>122</v>
      </c>
      <c r="AZ16" s="159" t="str">
        <f>AD45-Q39/100&amp;"×"&amp;T37&amp;"×"&amp;C19&amp;"＝　"&amp;BZ16&amp;"ｍ3"</f>
        <v>2.42×1×0.9＝　2.178ｍ3</v>
      </c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60"/>
      <c r="BW16" s="160"/>
      <c r="BX16" s="161"/>
      <c r="BY16" s="106"/>
      <c r="BZ16" s="201">
        <f>ROUNDDOWN((AD45-Q39/100)*T37*C19,3)</f>
        <v>2.1779999999999999</v>
      </c>
      <c r="CA16" s="201"/>
      <c r="CB16" s="99"/>
    </row>
    <row r="17" spans="1:81" ht="13.5" customHeight="1" x14ac:dyDescent="0.4">
      <c r="A17" s="159"/>
      <c r="B17" s="159"/>
      <c r="C17" s="159"/>
      <c r="D17" s="159"/>
      <c r="E17" s="159"/>
      <c r="F17" s="159"/>
      <c r="G17" s="159"/>
      <c r="H17" s="159"/>
      <c r="I17" s="107"/>
      <c r="J17" s="159"/>
      <c r="K17" s="103"/>
      <c r="L17" s="159"/>
      <c r="M17" s="159"/>
      <c r="N17" s="159"/>
      <c r="O17" s="159"/>
      <c r="P17" s="159"/>
      <c r="Q17" s="159"/>
      <c r="R17" s="159"/>
      <c r="S17" s="159"/>
      <c r="T17" s="159"/>
      <c r="U17" s="111"/>
      <c r="V17" s="112"/>
      <c r="W17" s="159"/>
      <c r="X17" s="113"/>
      <c r="Y17" s="159"/>
      <c r="Z17" s="159"/>
      <c r="AA17" s="159"/>
      <c r="AB17" s="159" t="s">
        <v>123</v>
      </c>
      <c r="AC17" s="159"/>
      <c r="AD17" s="159"/>
      <c r="AE17" s="159"/>
      <c r="AF17" s="159"/>
      <c r="AG17" s="101"/>
      <c r="AH17" s="108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 t="s">
        <v>124</v>
      </c>
      <c r="AZ17" s="168" t="str">
        <f>BZ14&amp;"＋"&amp;BZ15&amp;"＋"&amp;BZ16&amp;"－"&amp;CB17&amp;"＝　"&amp;BZ17&amp;"ｍ3"</f>
        <v>0.585＋1.869＋2.178－0.052＝　4.58ｍ3</v>
      </c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60"/>
      <c r="BW17" s="160"/>
      <c r="BX17" s="161"/>
      <c r="BY17" s="106"/>
      <c r="BZ17" s="201">
        <f>SUM(BZ14:CA16)-CB17</f>
        <v>4.58</v>
      </c>
      <c r="CA17" s="201"/>
      <c r="CB17" s="99">
        <f>ROUND(AB51^2*3.14/4*C19,3)</f>
        <v>5.1999999999999998E-2</v>
      </c>
      <c r="CC17" s="100" t="s">
        <v>125</v>
      </c>
    </row>
    <row r="18" spans="1:81" ht="13.5" customHeight="1" x14ac:dyDescent="0.4">
      <c r="A18" s="159"/>
      <c r="B18" s="159"/>
      <c r="C18" s="159"/>
      <c r="D18" s="97"/>
      <c r="E18" s="159"/>
      <c r="F18" s="96"/>
      <c r="G18" s="97"/>
      <c r="H18" s="97"/>
      <c r="I18" s="114"/>
      <c r="J18" s="115"/>
      <c r="K18" s="116"/>
      <c r="L18" s="97"/>
      <c r="M18" s="97"/>
      <c r="N18" s="97"/>
      <c r="O18" s="97"/>
      <c r="P18" s="97"/>
      <c r="Q18" s="97"/>
      <c r="R18" s="97"/>
      <c r="S18" s="117"/>
      <c r="T18" s="97"/>
      <c r="U18" s="118"/>
      <c r="V18" s="119"/>
      <c r="W18" s="97"/>
      <c r="X18" s="120"/>
      <c r="Y18" s="97"/>
      <c r="Z18" s="98"/>
      <c r="AA18" s="159"/>
      <c r="AB18" s="280" t="s">
        <v>126</v>
      </c>
      <c r="AC18" s="280"/>
      <c r="AD18" s="280"/>
      <c r="AE18" s="280"/>
      <c r="AF18" s="159"/>
      <c r="AG18" s="101"/>
      <c r="AH18" s="108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 t="s">
        <v>127</v>
      </c>
      <c r="AU18" s="159"/>
      <c r="AV18" s="159"/>
      <c r="AW18" s="159"/>
      <c r="AX18" s="159"/>
      <c r="AY18" s="159" t="s">
        <v>120</v>
      </c>
      <c r="AZ18" s="159" t="str">
        <f>"0.37×"&amp;F14&amp;"×"&amp;C19&amp;"＝　"&amp;BZ18&amp;"ｍ3"</f>
        <v>0.37×0.5×0.9＝　0.166ｍ3</v>
      </c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60"/>
      <c r="BW18" s="160"/>
      <c r="BX18" s="161"/>
      <c r="BY18" s="106"/>
      <c r="BZ18" s="201">
        <f>ROUNDDOWN(0.37*F37*C19,3)</f>
        <v>0.16600000000000001</v>
      </c>
      <c r="CA18" s="201"/>
      <c r="CB18" s="99"/>
    </row>
    <row r="19" spans="1:81" ht="13.5" customHeight="1" x14ac:dyDescent="0.4">
      <c r="A19" s="159"/>
      <c r="B19" s="159"/>
      <c r="C19" s="281">
        <v>0.9</v>
      </c>
      <c r="D19" s="169"/>
      <c r="E19" s="159"/>
      <c r="F19" s="101"/>
      <c r="G19" s="159"/>
      <c r="H19" s="159"/>
      <c r="I19" s="107"/>
      <c r="J19" s="159"/>
      <c r="K19" s="103"/>
      <c r="L19" s="159"/>
      <c r="M19" s="159"/>
      <c r="N19" s="159"/>
      <c r="O19" s="159"/>
      <c r="P19" s="159"/>
      <c r="Q19" s="159"/>
      <c r="R19" s="159"/>
      <c r="S19" s="121"/>
      <c r="T19" s="159"/>
      <c r="U19" s="122"/>
      <c r="V19" s="123"/>
      <c r="W19" s="124"/>
      <c r="X19" s="113"/>
      <c r="Y19" s="159"/>
      <c r="Z19" s="103"/>
      <c r="AA19" s="159"/>
      <c r="AB19" s="159"/>
      <c r="AC19" s="159"/>
      <c r="AD19" s="159"/>
      <c r="AE19" s="159"/>
      <c r="AF19" s="159"/>
      <c r="AG19" s="101"/>
      <c r="AH19" s="108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 t="s">
        <v>121</v>
      </c>
      <c r="AZ19" s="159" t="str">
        <f>"0.37×"&amp;N37&amp;"×"&amp;C19&amp;"＝　"&amp;BZ19&amp;"ｍ3"</f>
        <v>0.37×1.5×0.9＝　0.499ｍ3</v>
      </c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60"/>
      <c r="BW19" s="160"/>
      <c r="BX19" s="161"/>
      <c r="BY19" s="106"/>
      <c r="BZ19" s="201">
        <f>ROUNDDOWN(0.37*N37*C19,3)</f>
        <v>0.499</v>
      </c>
      <c r="CA19" s="201"/>
      <c r="CB19" s="99"/>
    </row>
    <row r="20" spans="1:81" ht="13.5" customHeight="1" x14ac:dyDescent="0.4">
      <c r="A20" s="159"/>
      <c r="B20" s="159"/>
      <c r="C20" s="281"/>
      <c r="D20" s="169"/>
      <c r="E20" s="159"/>
      <c r="F20" s="101"/>
      <c r="G20" s="125"/>
      <c r="H20" s="126"/>
      <c r="I20" s="127"/>
      <c r="J20" s="126"/>
      <c r="K20" s="128"/>
      <c r="L20" s="126"/>
      <c r="M20" s="126" t="s">
        <v>128</v>
      </c>
      <c r="N20" s="126"/>
      <c r="O20" s="126"/>
      <c r="P20" s="126"/>
      <c r="Q20" s="126"/>
      <c r="R20" s="126"/>
      <c r="S20" s="126"/>
      <c r="T20" s="126"/>
      <c r="U20" s="128"/>
      <c r="V20" s="129"/>
      <c r="W20" s="130"/>
      <c r="X20" s="113"/>
      <c r="Y20" s="159"/>
      <c r="Z20" s="103"/>
      <c r="AA20" s="159"/>
      <c r="AB20" s="159"/>
      <c r="AC20" s="159"/>
      <c r="AD20" s="159"/>
      <c r="AE20" s="159"/>
      <c r="AF20" s="159"/>
      <c r="AG20" s="101"/>
      <c r="AH20" s="108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 t="s">
        <v>122</v>
      </c>
      <c r="AZ20" s="159" t="str">
        <f>CB20&amp;"×"&amp;T37&amp;"×"&amp;C19&amp;"＝　"&amp;BZ20&amp;"ｍ3"</f>
        <v>1.34×1×0.9＝　1.206ｍ3</v>
      </c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60"/>
      <c r="BW20" s="160"/>
      <c r="BX20" s="161"/>
      <c r="BY20" s="106"/>
      <c r="BZ20" s="201">
        <f>ROUNDDOWN(CB20*T37*C19,3)</f>
        <v>1.206</v>
      </c>
      <c r="CA20" s="201"/>
      <c r="CB20" s="99">
        <f>IF(P50+0.37&gt;Y51,P50+0.37,Y51)</f>
        <v>1.3399999999999999</v>
      </c>
    </row>
    <row r="21" spans="1:81" ht="13.5" customHeight="1" x14ac:dyDescent="0.4">
      <c r="A21" s="159"/>
      <c r="B21" s="159"/>
      <c r="C21" s="281"/>
      <c r="D21" s="169"/>
      <c r="E21" s="159"/>
      <c r="F21" s="101"/>
      <c r="G21" s="159"/>
      <c r="H21" s="159"/>
      <c r="I21" s="107"/>
      <c r="J21" s="159"/>
      <c r="K21" s="103"/>
      <c r="L21" s="159"/>
      <c r="M21" s="159"/>
      <c r="N21" s="159"/>
      <c r="O21" s="159"/>
      <c r="P21" s="159"/>
      <c r="Q21" s="159"/>
      <c r="R21" s="159"/>
      <c r="S21" s="117"/>
      <c r="T21" s="159"/>
      <c r="U21" s="131"/>
      <c r="V21" s="132"/>
      <c r="W21" s="133"/>
      <c r="X21" s="113"/>
      <c r="Y21" s="159"/>
      <c r="Z21" s="103"/>
      <c r="AA21" s="159"/>
      <c r="AB21" s="159"/>
      <c r="AC21" s="159"/>
      <c r="AD21" s="159"/>
      <c r="AE21" s="159"/>
      <c r="AF21" s="159"/>
      <c r="AG21" s="101"/>
      <c r="AH21" s="108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 t="s">
        <v>124</v>
      </c>
      <c r="AZ21" s="168" t="str">
        <f>BZ18&amp;"＋"&amp;BZ19&amp;"＋"&amp;BZ20&amp;"－"&amp;CB21&amp;"－"&amp;CB17&amp;"＝　"&amp;BZ21&amp;"ｍ3"</f>
        <v>0.166＋0.499＋1.206－0.065－0.052＝　1.754ｍ3</v>
      </c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60"/>
      <c r="BW21" s="160"/>
      <c r="BX21" s="161"/>
      <c r="BY21" s="106"/>
      <c r="BZ21" s="201">
        <f>SUM(BZ18:CA20)-CB21-CB17</f>
        <v>1.754</v>
      </c>
      <c r="CA21" s="201"/>
      <c r="CB21" s="99">
        <f>ROUND(0.17^2*3.14/4*(G24+N37+T48),3)</f>
        <v>6.5000000000000002E-2</v>
      </c>
      <c r="CC21" s="100" t="s">
        <v>129</v>
      </c>
    </row>
    <row r="22" spans="1:81" ht="13.5" customHeight="1" x14ac:dyDescent="0.4">
      <c r="A22" s="159"/>
      <c r="B22" s="159"/>
      <c r="C22" s="159"/>
      <c r="D22" s="134"/>
      <c r="E22" s="159"/>
      <c r="F22" s="135"/>
      <c r="G22" s="134"/>
      <c r="H22" s="134"/>
      <c r="I22" s="136"/>
      <c r="J22" s="137"/>
      <c r="K22" s="138"/>
      <c r="L22" s="134"/>
      <c r="M22" s="134"/>
      <c r="N22" s="134"/>
      <c r="O22" s="134"/>
      <c r="P22" s="134"/>
      <c r="Q22" s="134"/>
      <c r="R22" s="134"/>
      <c r="S22" s="121"/>
      <c r="T22" s="134"/>
      <c r="U22" s="139"/>
      <c r="V22" s="140"/>
      <c r="W22" s="134"/>
      <c r="X22" s="141"/>
      <c r="Y22" s="134"/>
      <c r="Z22" s="142"/>
      <c r="AA22" s="159"/>
      <c r="AB22" s="159"/>
      <c r="AC22" s="159"/>
      <c r="AD22" s="159"/>
      <c r="AE22" s="159"/>
      <c r="AF22" s="159"/>
      <c r="AG22" s="101"/>
      <c r="AH22" s="108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 t="s">
        <v>130</v>
      </c>
      <c r="AU22" s="159"/>
      <c r="AV22" s="159"/>
      <c r="AW22" s="159"/>
      <c r="AX22" s="159"/>
      <c r="AY22" s="159" t="s">
        <v>121</v>
      </c>
      <c r="AZ22" s="159" t="str">
        <f>"（"&amp;M44-L64/100-0.37&amp;"＋"&amp;R44-L64/100-0.37&amp;"）÷2"&amp;"×"&amp;N37&amp;"×"&amp;C19&amp;"＝　"&amp;BZ22&amp;"ｍ3"</f>
        <v>（0.55＋0.68）÷2×1.5×0.9＝　0.83ｍ3</v>
      </c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60"/>
      <c r="BW22" s="160"/>
      <c r="BX22" s="161"/>
      <c r="BY22" s="106"/>
      <c r="BZ22" s="201">
        <f>ROUNDDOWN(((M44-L64/100-0.37)+(R44-L64/100-0.37))/2*N37*C19,3)</f>
        <v>0.83</v>
      </c>
      <c r="CA22" s="201"/>
      <c r="CB22" s="99"/>
    </row>
    <row r="23" spans="1:81" ht="13.5" customHeight="1" x14ac:dyDescent="0.4">
      <c r="A23" s="159"/>
      <c r="B23" s="159"/>
      <c r="C23" s="159"/>
      <c r="D23" s="159"/>
      <c r="E23" s="159"/>
      <c r="F23" s="159"/>
      <c r="G23" s="159"/>
      <c r="H23" s="159"/>
      <c r="I23" s="107"/>
      <c r="J23" s="159"/>
      <c r="K23" s="103"/>
      <c r="L23" s="159"/>
      <c r="M23" s="159"/>
      <c r="N23" s="159"/>
      <c r="O23" s="159"/>
      <c r="P23" s="159"/>
      <c r="Q23" s="159"/>
      <c r="R23" s="159"/>
      <c r="S23" s="159"/>
      <c r="T23" s="159"/>
      <c r="U23" s="111"/>
      <c r="V23" s="112"/>
      <c r="W23" s="159"/>
      <c r="X23" s="113"/>
      <c r="Y23" s="159"/>
      <c r="Z23" s="159"/>
      <c r="AA23" s="159"/>
      <c r="AB23" s="159"/>
      <c r="AC23" s="159"/>
      <c r="AD23" s="159"/>
      <c r="AE23" s="159"/>
      <c r="AF23" s="159"/>
      <c r="AG23" s="101"/>
      <c r="AH23" s="108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 t="s">
        <v>122</v>
      </c>
      <c r="AZ23" s="159" t="str">
        <f>ROUND(AD45-L64/100-CB20,2)&amp;"×"&amp;T37&amp;"×"&amp;C19&amp;"＝　"&amp;BZ23&amp;"ｍ3"</f>
        <v>0.68×1×0.9＝　0.612ｍ3</v>
      </c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60"/>
      <c r="BW23" s="160"/>
      <c r="BX23" s="161"/>
      <c r="BY23" s="106"/>
      <c r="BZ23" s="201">
        <f>ROUNDDOWN((AD45-L64/100-CB20)*T37*C19,3)</f>
        <v>0.61199999999999999</v>
      </c>
      <c r="CA23" s="201"/>
      <c r="CB23" s="99"/>
    </row>
    <row r="24" spans="1:81" ht="13.5" customHeight="1" x14ac:dyDescent="0.4">
      <c r="A24" s="159"/>
      <c r="B24" s="159"/>
      <c r="C24" s="159"/>
      <c r="D24" s="159"/>
      <c r="E24" s="159"/>
      <c r="F24" s="159"/>
      <c r="G24" s="244">
        <v>0.3</v>
      </c>
      <c r="H24" s="245"/>
      <c r="I24" s="107"/>
      <c r="J24" s="159"/>
      <c r="K24" s="103"/>
      <c r="L24" s="159"/>
      <c r="M24" s="159"/>
      <c r="N24" s="159"/>
      <c r="O24" s="159"/>
      <c r="P24" s="159"/>
      <c r="Q24" s="159"/>
      <c r="R24" s="159"/>
      <c r="S24" s="159"/>
      <c r="T24" s="159"/>
      <c r="U24" s="111"/>
      <c r="V24" s="112"/>
      <c r="W24" s="159"/>
      <c r="X24" s="113"/>
      <c r="Y24" s="159"/>
      <c r="Z24" s="159"/>
      <c r="AA24" s="159"/>
      <c r="AB24" s="159"/>
      <c r="AC24" s="159"/>
      <c r="AD24" s="159"/>
      <c r="AE24" s="159"/>
      <c r="AF24" s="159"/>
      <c r="AG24" s="101"/>
      <c r="AH24" s="108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 t="s">
        <v>124</v>
      </c>
      <c r="AZ24" s="168" t="str">
        <f>BZ22&amp;"＋"&amp;BZ23&amp;"＝　"&amp;BZ24&amp;"ｍ3"</f>
        <v>0.83＋0.612＝　1.442ｍ3</v>
      </c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60"/>
      <c r="BW24" s="160"/>
      <c r="BX24" s="161"/>
      <c r="BY24" s="106"/>
      <c r="BZ24" s="201">
        <f>SUM(BZ22:CA23)</f>
        <v>1.4419999999999999</v>
      </c>
      <c r="CA24" s="201"/>
      <c r="CB24" s="99"/>
    </row>
    <row r="25" spans="1:81" ht="13.5" customHeight="1" x14ac:dyDescent="0.4">
      <c r="A25" s="159"/>
      <c r="B25" s="159"/>
      <c r="C25" s="159"/>
      <c r="D25" s="159"/>
      <c r="E25" s="159"/>
      <c r="F25" s="159"/>
      <c r="G25" s="101"/>
      <c r="H25" s="108"/>
      <c r="I25" s="107"/>
      <c r="J25" s="159"/>
      <c r="K25" s="103"/>
      <c r="L25" s="159"/>
      <c r="M25" s="159"/>
      <c r="N25" s="159"/>
      <c r="O25" s="159"/>
      <c r="P25" s="159"/>
      <c r="Q25" s="159"/>
      <c r="R25" s="159"/>
      <c r="S25" s="159"/>
      <c r="T25" s="159"/>
      <c r="U25" s="111"/>
      <c r="V25" s="112"/>
      <c r="W25" s="159"/>
      <c r="X25" s="113"/>
      <c r="Y25" s="159"/>
      <c r="Z25" s="159"/>
      <c r="AA25" s="159"/>
      <c r="AB25" s="159"/>
      <c r="AC25" s="159"/>
      <c r="AD25" s="159"/>
      <c r="AE25" s="159"/>
      <c r="AF25" s="159"/>
      <c r="AG25" s="101"/>
      <c r="AH25" s="108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 t="s">
        <v>131</v>
      </c>
      <c r="AU25" s="159"/>
      <c r="AV25" s="159"/>
      <c r="AW25" s="159"/>
      <c r="AX25" s="159"/>
      <c r="AY25" s="159" t="s">
        <v>120</v>
      </c>
      <c r="AZ25" s="159" t="str">
        <f>C43-0.37&amp;"×"&amp;F37&amp;"×"&amp;C19&amp;"＝　"&amp;BZ25&amp;"ｍ3"</f>
        <v>0.93×0.5×0.9＝　0.418ｍ3</v>
      </c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60"/>
      <c r="BW25" s="160"/>
      <c r="BX25" s="161"/>
      <c r="BY25" s="106"/>
      <c r="BZ25" s="201">
        <f>ROUNDDOWN((C43-0.37)*F37*C19,3)</f>
        <v>0.41799999999999998</v>
      </c>
      <c r="CA25" s="201"/>
      <c r="CB25" s="99"/>
    </row>
    <row r="26" spans="1:81" ht="13.5" customHeight="1" x14ac:dyDescent="0.4">
      <c r="A26" s="159"/>
      <c r="B26" s="159"/>
      <c r="C26" s="159"/>
      <c r="D26" s="159"/>
      <c r="E26" s="159"/>
      <c r="F26" s="159"/>
      <c r="G26" s="101"/>
      <c r="H26" s="108"/>
      <c r="I26" s="107"/>
      <c r="J26" s="159"/>
      <c r="K26" s="103"/>
      <c r="L26" s="159"/>
      <c r="M26" s="159"/>
      <c r="N26" s="159"/>
      <c r="O26" s="163" t="s">
        <v>132</v>
      </c>
      <c r="P26" s="279">
        <f>G24+I14+O14</f>
        <v>2.75</v>
      </c>
      <c r="Q26" s="279"/>
      <c r="R26" s="279"/>
      <c r="S26" s="159" t="s">
        <v>108</v>
      </c>
      <c r="T26" s="159"/>
      <c r="U26" s="111"/>
      <c r="V26" s="112"/>
      <c r="W26" s="159"/>
      <c r="X26" s="113"/>
      <c r="Y26" s="159"/>
      <c r="Z26" s="159"/>
      <c r="AA26" s="159"/>
      <c r="AB26" s="159"/>
      <c r="AC26" s="159"/>
      <c r="AD26" s="159"/>
      <c r="AE26" s="159"/>
      <c r="AF26" s="159"/>
      <c r="AG26" s="101"/>
      <c r="AH26" s="108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 t="s">
        <v>133</v>
      </c>
      <c r="AU26" s="159"/>
      <c r="AV26" s="159"/>
      <c r="AW26" s="159"/>
      <c r="AX26" s="159"/>
      <c r="AY26" s="159"/>
      <c r="AZ26" s="159" t="str">
        <f>BZ17&amp;"－"&amp;BZ25&amp;"＝　"&amp;BZ26&amp;"ｍ3"</f>
        <v>4.58－0.418＝　4.162ｍ3</v>
      </c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60"/>
      <c r="BW26" s="160"/>
      <c r="BX26" s="161"/>
      <c r="BY26" s="99"/>
      <c r="BZ26" s="201">
        <f>ROUNDDOWN(BZ17-BZ25,3)</f>
        <v>4.1619999999999999</v>
      </c>
      <c r="CA26" s="201"/>
      <c r="CB26" s="99"/>
    </row>
    <row r="27" spans="1:81" ht="13.5" customHeight="1" x14ac:dyDescent="0.4">
      <c r="A27" s="159"/>
      <c r="B27" s="159"/>
      <c r="C27" s="159"/>
      <c r="D27" s="159"/>
      <c r="E27" s="159"/>
      <c r="F27" s="159"/>
      <c r="G27" s="159"/>
      <c r="H27" s="108"/>
      <c r="I27" s="107"/>
      <c r="J27" s="159"/>
      <c r="K27" s="103"/>
      <c r="L27" s="159"/>
      <c r="M27" s="159"/>
      <c r="N27" s="159"/>
      <c r="O27" s="159"/>
      <c r="P27" s="159"/>
      <c r="Q27" s="159"/>
      <c r="R27" s="159"/>
      <c r="S27" s="159"/>
      <c r="T27" s="159"/>
      <c r="U27" s="111"/>
      <c r="V27" s="112"/>
      <c r="W27" s="159"/>
      <c r="X27" s="113"/>
      <c r="Y27" s="159"/>
      <c r="Z27" s="159"/>
      <c r="AA27" s="159"/>
      <c r="AB27" s="159"/>
      <c r="AC27" s="159"/>
      <c r="AD27" s="159"/>
      <c r="AE27" s="159"/>
      <c r="AF27" s="159"/>
      <c r="AG27" s="101"/>
      <c r="AH27" s="108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60"/>
      <c r="BW27" s="160"/>
      <c r="BX27" s="161"/>
      <c r="BY27" s="99"/>
      <c r="BZ27" s="201"/>
      <c r="CA27" s="201"/>
      <c r="CB27" s="99"/>
    </row>
    <row r="28" spans="1:81" ht="13.5" customHeight="1" x14ac:dyDescent="0.4">
      <c r="A28" s="159"/>
      <c r="B28" s="159"/>
      <c r="C28" s="159"/>
      <c r="D28" s="159"/>
      <c r="E28" s="159"/>
      <c r="F28" s="159"/>
      <c r="G28" s="159"/>
      <c r="H28" s="159"/>
      <c r="I28" s="107"/>
      <c r="J28" s="159"/>
      <c r="K28" s="103"/>
      <c r="L28" s="159"/>
      <c r="M28" s="159"/>
      <c r="N28" s="159"/>
      <c r="O28" s="159"/>
      <c r="P28" s="159"/>
      <c r="Q28" s="159"/>
      <c r="R28" s="159"/>
      <c r="S28" s="159"/>
      <c r="T28" s="159"/>
      <c r="U28" s="111"/>
      <c r="V28" s="112"/>
      <c r="W28" s="159"/>
      <c r="X28" s="113"/>
      <c r="Y28" s="159"/>
      <c r="Z28" s="159"/>
      <c r="AA28" s="159"/>
      <c r="AB28" s="159"/>
      <c r="AC28" s="159"/>
      <c r="AD28" s="159"/>
      <c r="AE28" s="159"/>
      <c r="AF28" s="159"/>
      <c r="AG28" s="101"/>
      <c r="AH28" s="108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 t="s">
        <v>134</v>
      </c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60"/>
      <c r="BW28" s="160"/>
      <c r="BX28" s="161"/>
      <c r="BY28" s="106"/>
      <c r="BZ28" s="201"/>
      <c r="CA28" s="201"/>
      <c r="CB28" s="99"/>
    </row>
    <row r="29" spans="1:81" ht="13.5" customHeight="1" x14ac:dyDescent="0.4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 t="s">
        <v>135</v>
      </c>
      <c r="AU29" s="159"/>
      <c r="AV29" s="159"/>
      <c r="AW29" s="159"/>
      <c r="AX29" s="159"/>
      <c r="AY29" s="163" t="s">
        <v>136</v>
      </c>
      <c r="AZ29" s="255">
        <f>ROUNDDOWN(R55,2)</f>
        <v>3.3</v>
      </c>
      <c r="BA29" s="255"/>
      <c r="BB29" s="159" t="s">
        <v>108</v>
      </c>
      <c r="BC29" s="159"/>
      <c r="BD29" s="277" t="s">
        <v>268</v>
      </c>
      <c r="BE29" s="277"/>
      <c r="BF29" s="277"/>
      <c r="BG29" s="277"/>
      <c r="BH29" s="277"/>
      <c r="BI29" s="451"/>
      <c r="BJ29" s="451"/>
      <c r="BK29" s="278" t="s">
        <v>269</v>
      </c>
      <c r="BL29" s="278"/>
      <c r="BM29" s="278"/>
      <c r="BN29" s="278"/>
      <c r="BO29" s="278"/>
      <c r="BP29" s="451"/>
      <c r="BQ29" s="451"/>
      <c r="BR29" s="182" t="s">
        <v>270</v>
      </c>
      <c r="BS29" s="159"/>
      <c r="BT29" s="159"/>
      <c r="BU29" s="159"/>
      <c r="BV29" s="160"/>
      <c r="BW29" s="160"/>
      <c r="BX29" s="161"/>
      <c r="BY29" s="106"/>
      <c r="BZ29" s="201"/>
      <c r="CA29" s="201"/>
      <c r="CB29" s="99"/>
    </row>
    <row r="30" spans="1:81" ht="13.5" customHeight="1" x14ac:dyDescent="0.4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 t="s">
        <v>137</v>
      </c>
      <c r="AU30" s="159"/>
      <c r="AV30" s="159"/>
      <c r="AW30" s="159"/>
      <c r="AX30" s="159"/>
      <c r="AY30" s="159"/>
      <c r="AZ30" s="159"/>
      <c r="BA30" s="159">
        <v>1</v>
      </c>
      <c r="BB30" s="159" t="s">
        <v>138</v>
      </c>
      <c r="BC30" s="159"/>
      <c r="BD30" s="159" t="str">
        <f>"（本管"&amp;AB18&amp;"）"</f>
        <v>（本管φ２５０ＶＵ）</v>
      </c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60"/>
      <c r="BW30" s="160"/>
      <c r="BX30" s="161"/>
      <c r="BY30" s="106"/>
      <c r="BZ30" s="201"/>
      <c r="CA30" s="201"/>
      <c r="CB30" s="99"/>
    </row>
    <row r="31" spans="1:81" ht="13.5" customHeight="1" x14ac:dyDescent="0.4">
      <c r="A31" s="159"/>
      <c r="B31" s="159"/>
      <c r="C31" s="159"/>
      <c r="D31" s="159"/>
      <c r="E31" s="276" t="s">
        <v>139</v>
      </c>
      <c r="F31" s="276"/>
      <c r="G31" s="276"/>
      <c r="H31" s="276"/>
      <c r="I31" s="276"/>
      <c r="J31" s="276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 t="s">
        <v>140</v>
      </c>
      <c r="AU31" s="159"/>
      <c r="AV31" s="159"/>
      <c r="AW31" s="159"/>
      <c r="AX31" s="159"/>
      <c r="AY31" s="163" t="s">
        <v>136</v>
      </c>
      <c r="AZ31" s="159" t="str">
        <f>IF(I14=0,"－－",IF(BK31="無",I14&amp;"ｍ",I14&amp;"+0.1＝　"&amp;BZ31&amp;"ｍ"))</f>
        <v>0.45+0.1＝　0.55ｍ</v>
      </c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452" t="s">
        <v>280</v>
      </c>
      <c r="BL31" s="452"/>
      <c r="BM31" s="159"/>
      <c r="BN31" s="159"/>
      <c r="BO31" s="159"/>
      <c r="BP31" s="159"/>
      <c r="BQ31" s="159"/>
      <c r="BR31" s="159"/>
      <c r="BS31" s="159"/>
      <c r="BT31" s="159"/>
      <c r="BU31" s="159"/>
      <c r="BV31" s="160"/>
      <c r="BW31" s="160"/>
      <c r="BX31" s="161"/>
      <c r="BY31" s="99"/>
      <c r="BZ31" s="201">
        <f>I14+0.1</f>
        <v>0.55000000000000004</v>
      </c>
      <c r="CA31" s="201"/>
      <c r="CB31" s="99"/>
    </row>
    <row r="32" spans="1:81" ht="13.5" customHeight="1" x14ac:dyDescent="0.4">
      <c r="A32" s="159"/>
      <c r="B32" s="159"/>
      <c r="C32" s="159"/>
      <c r="D32" s="159"/>
      <c r="E32" s="276"/>
      <c r="F32" s="276"/>
      <c r="G32" s="276"/>
      <c r="H32" s="276"/>
      <c r="I32" s="276"/>
      <c r="J32" s="276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60"/>
      <c r="BW32" s="160"/>
      <c r="BX32" s="161"/>
      <c r="BY32" s="99"/>
      <c r="BZ32" s="201"/>
      <c r="CA32" s="201"/>
      <c r="CB32" s="99"/>
    </row>
    <row r="33" spans="1:81" ht="13.5" customHeight="1" x14ac:dyDescent="0.35">
      <c r="A33" s="159"/>
      <c r="B33" s="159"/>
      <c r="C33" s="159"/>
      <c r="D33" s="159"/>
      <c r="E33" s="170"/>
      <c r="F33" s="170"/>
      <c r="G33" s="170"/>
      <c r="H33" s="170"/>
      <c r="I33" s="170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 t="s">
        <v>142</v>
      </c>
      <c r="AT33" s="159"/>
      <c r="AU33" s="159"/>
      <c r="AV33" s="159"/>
      <c r="AW33" s="159"/>
      <c r="AX33" s="159"/>
      <c r="AY33" s="163" t="s">
        <v>143</v>
      </c>
      <c r="AZ33" s="229" t="str">
        <f>VLOOKUP($F$71,$A$77:$X$89,3,FALSE)</f>
        <v>車Ａｓ－Ｌ</v>
      </c>
      <c r="BA33" s="229"/>
      <c r="BB33" s="229"/>
      <c r="BC33" s="229"/>
      <c r="BD33" s="159" t="s">
        <v>144</v>
      </c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60"/>
      <c r="BW33" s="160"/>
      <c r="BX33" s="161"/>
      <c r="BY33" s="106"/>
      <c r="BZ33" s="201"/>
      <c r="CA33" s="201"/>
      <c r="CB33" s="99"/>
    </row>
    <row r="34" spans="1:81" ht="13.5" customHeight="1" x14ac:dyDescent="0.4">
      <c r="A34" s="159"/>
      <c r="B34" s="159"/>
      <c r="C34" s="159"/>
      <c r="D34" s="159"/>
      <c r="E34" s="159"/>
      <c r="F34" s="159"/>
      <c r="G34" s="229" t="s">
        <v>105</v>
      </c>
      <c r="H34" s="229"/>
      <c r="I34" s="229"/>
      <c r="J34" s="22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 t="s">
        <v>145</v>
      </c>
      <c r="AU34" s="159"/>
      <c r="AV34" s="159"/>
      <c r="AW34" s="159"/>
      <c r="AX34" s="159"/>
      <c r="AY34" s="159"/>
      <c r="AZ34" s="159" t="str">
        <f>R12&amp;"×"&amp;C19&amp;"＝　"&amp;BZ34&amp;"ｍ2"</f>
        <v>2.5×0.9＝　2.25ｍ2</v>
      </c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60"/>
      <c r="BW34" s="160"/>
      <c r="BX34" s="161"/>
      <c r="BY34" s="106"/>
      <c r="BZ34" s="201">
        <f>ROUND(R12*C19,3)</f>
        <v>2.25</v>
      </c>
      <c r="CA34" s="201"/>
      <c r="CB34" s="99"/>
    </row>
    <row r="35" spans="1:81" ht="13.5" customHeight="1" x14ac:dyDescent="0.4">
      <c r="A35" s="159"/>
      <c r="B35" s="159"/>
      <c r="C35" s="159"/>
      <c r="D35" s="159"/>
      <c r="E35" s="159"/>
      <c r="F35" s="159"/>
      <c r="G35" s="159"/>
      <c r="H35" s="159"/>
      <c r="I35" s="143"/>
      <c r="J35" s="159"/>
      <c r="K35" s="159"/>
      <c r="L35" s="159"/>
      <c r="M35" s="159"/>
      <c r="N35" s="159"/>
      <c r="O35" s="159"/>
      <c r="P35" s="159"/>
      <c r="Q35" s="163" t="s">
        <v>116</v>
      </c>
      <c r="R35" s="235">
        <f>R12</f>
        <v>2.5</v>
      </c>
      <c r="S35" s="235"/>
      <c r="T35" s="235"/>
      <c r="U35" s="255" t="s">
        <v>108</v>
      </c>
      <c r="V35" s="255"/>
      <c r="W35" s="255"/>
      <c r="X35" s="159"/>
      <c r="Y35" s="159"/>
      <c r="Z35" s="159"/>
      <c r="AA35" s="159"/>
      <c r="AB35" s="159"/>
      <c r="AC35" s="229">
        <f>AC12</f>
        <v>2.5</v>
      </c>
      <c r="AD35" s="229"/>
      <c r="AE35" s="159" t="s">
        <v>108</v>
      </c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 t="s">
        <v>146</v>
      </c>
      <c r="AU35" s="159"/>
      <c r="AV35" s="159"/>
      <c r="AW35" s="159"/>
      <c r="AX35" s="159"/>
      <c r="AY35" s="159"/>
      <c r="AZ35" s="159" t="str">
        <f>R12&amp;"×"&amp;C19&amp;"＝　"&amp;BZ34&amp;"ｍ2"</f>
        <v>2.5×0.9＝　2.25ｍ2</v>
      </c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60"/>
      <c r="BW35" s="160"/>
      <c r="BX35" s="161"/>
      <c r="BY35" s="106"/>
      <c r="BZ35" s="201">
        <f>ROUND(R12*C19,3)</f>
        <v>2.25</v>
      </c>
      <c r="CA35" s="201"/>
      <c r="CB35" s="99"/>
    </row>
    <row r="36" spans="1:81" ht="13.5" customHeight="1" x14ac:dyDescent="0.4">
      <c r="A36" s="159"/>
      <c r="B36" s="159"/>
      <c r="C36" s="159"/>
      <c r="D36" s="160"/>
      <c r="E36" s="159"/>
      <c r="F36" s="229" t="s">
        <v>117</v>
      </c>
      <c r="G36" s="229"/>
      <c r="H36" s="229"/>
      <c r="I36" s="143"/>
      <c r="J36" s="159"/>
      <c r="K36" s="159"/>
      <c r="L36" s="101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03"/>
      <c r="AA36" s="159"/>
      <c r="AB36" s="159"/>
      <c r="AC36" s="159"/>
      <c r="AD36" s="159"/>
      <c r="AE36" s="159"/>
      <c r="AF36" s="103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 t="s">
        <v>147</v>
      </c>
      <c r="AU36" s="159"/>
      <c r="AV36" s="159"/>
      <c r="AW36" s="159"/>
      <c r="AX36" s="159"/>
      <c r="AY36" s="159"/>
      <c r="AZ36" s="159" t="str">
        <f>R12&amp;"×"&amp;C19&amp;"＝　"&amp;BZ34&amp;"ｍ2"</f>
        <v>2.5×0.9＝　2.25ｍ2</v>
      </c>
      <c r="BA36" s="159"/>
      <c r="BB36" s="159"/>
      <c r="BC36" s="159"/>
      <c r="BD36" s="159"/>
      <c r="BE36" s="159"/>
      <c r="BF36" s="159"/>
      <c r="BG36" s="159"/>
      <c r="BH36" s="160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60"/>
      <c r="BW36" s="160"/>
      <c r="BX36" s="161"/>
      <c r="BY36" s="99"/>
      <c r="BZ36" s="201">
        <f>ROUND(R12*C19,3)</f>
        <v>2.25</v>
      </c>
      <c r="CA36" s="201"/>
      <c r="CB36" s="99"/>
      <c r="CC36" s="99" t="str">
        <f>IF(BZ36&lt;=6.63,"（再生密粒度アスコン13F　　　0.5 ｔ ）","")</f>
        <v>（再生密粒度アスコン13F　　　0.5 ｔ ）</v>
      </c>
    </row>
    <row r="37" spans="1:81" ht="13.5" customHeight="1" x14ac:dyDescent="0.4">
      <c r="A37" s="159"/>
      <c r="B37" s="164"/>
      <c r="C37" s="164"/>
      <c r="D37" s="160"/>
      <c r="E37" s="164"/>
      <c r="F37" s="229">
        <f>F14</f>
        <v>0.5</v>
      </c>
      <c r="G37" s="229"/>
      <c r="H37" s="272"/>
      <c r="I37" s="273">
        <f>I14</f>
        <v>0.45</v>
      </c>
      <c r="J37" s="229"/>
      <c r="K37" s="229"/>
      <c r="L37" s="144"/>
      <c r="M37" s="164"/>
      <c r="N37" s="274">
        <f>R35-T37</f>
        <v>1.5</v>
      </c>
      <c r="O37" s="229"/>
      <c r="P37" s="229"/>
      <c r="Q37" s="164"/>
      <c r="R37" s="164"/>
      <c r="S37" s="164"/>
      <c r="T37" s="451">
        <v>1</v>
      </c>
      <c r="U37" s="451"/>
      <c r="V37" s="451"/>
      <c r="W37" s="451"/>
      <c r="X37" s="451"/>
      <c r="Y37" s="451"/>
      <c r="Z37" s="110"/>
      <c r="AA37" s="164"/>
      <c r="AB37" s="164"/>
      <c r="AC37" s="164"/>
      <c r="AD37" s="164"/>
      <c r="AE37" s="164"/>
      <c r="AF37" s="110"/>
      <c r="AG37" s="164"/>
      <c r="AH37" s="164"/>
      <c r="AI37" s="164"/>
      <c r="AJ37" s="164"/>
      <c r="AK37" s="164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60"/>
      <c r="BW37" s="160"/>
      <c r="BX37" s="161"/>
      <c r="BY37" s="99"/>
      <c r="BZ37" s="201"/>
      <c r="CA37" s="201"/>
      <c r="CB37" s="99"/>
    </row>
    <row r="38" spans="1:81" ht="13.5" customHeight="1" x14ac:dyDescent="0.35">
      <c r="A38" s="159"/>
      <c r="B38" s="159"/>
      <c r="C38" s="159"/>
      <c r="D38" s="159"/>
      <c r="E38" s="159"/>
      <c r="F38" s="101"/>
      <c r="G38" s="159"/>
      <c r="H38" s="159"/>
      <c r="I38" s="107"/>
      <c r="J38" s="159"/>
      <c r="K38" s="159"/>
      <c r="L38" s="101"/>
      <c r="M38" s="159"/>
      <c r="N38" s="159"/>
      <c r="O38" s="159"/>
      <c r="P38" s="159"/>
      <c r="Q38" s="159"/>
      <c r="R38" s="103"/>
      <c r="S38" s="159"/>
      <c r="T38" s="159"/>
      <c r="U38" s="159"/>
      <c r="V38" s="159"/>
      <c r="W38" s="159"/>
      <c r="X38" s="159"/>
      <c r="Y38" s="159"/>
      <c r="Z38" s="103"/>
      <c r="AA38" s="159"/>
      <c r="AB38" s="159"/>
      <c r="AC38" s="159"/>
      <c r="AD38" s="159"/>
      <c r="AE38" s="159"/>
      <c r="AF38" s="159"/>
      <c r="AG38" s="171" t="s">
        <v>148</v>
      </c>
      <c r="AH38" s="269">
        <f>L64</f>
        <v>45</v>
      </c>
      <c r="AI38" s="269"/>
      <c r="AJ38" s="172" t="s">
        <v>149</v>
      </c>
      <c r="AK38" s="159"/>
      <c r="AL38" s="159"/>
      <c r="AM38" s="159"/>
      <c r="AN38" s="159"/>
      <c r="AO38" s="159"/>
      <c r="AP38" s="159"/>
      <c r="AQ38" s="159"/>
      <c r="AR38" s="159"/>
      <c r="AS38" s="159" t="s">
        <v>150</v>
      </c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60"/>
      <c r="BW38" s="160"/>
      <c r="BX38" s="161"/>
      <c r="BY38" s="106"/>
      <c r="BZ38" s="201"/>
      <c r="CA38" s="201"/>
      <c r="CB38" s="99"/>
    </row>
    <row r="39" spans="1:81" ht="13.5" customHeight="1" x14ac:dyDescent="0.4">
      <c r="A39" s="159"/>
      <c r="B39" s="159"/>
      <c r="C39" s="159"/>
      <c r="D39" s="159"/>
      <c r="E39" s="159"/>
      <c r="F39" s="159"/>
      <c r="G39" s="159"/>
      <c r="H39" s="159"/>
      <c r="I39" s="107"/>
      <c r="J39" s="159"/>
      <c r="K39" s="159"/>
      <c r="L39" s="159"/>
      <c r="M39" s="159"/>
      <c r="N39" s="159"/>
      <c r="O39" s="159"/>
      <c r="P39" s="163" t="s">
        <v>151</v>
      </c>
      <c r="Q39" s="197">
        <v>5</v>
      </c>
      <c r="R39" s="159" t="s">
        <v>149</v>
      </c>
      <c r="S39" s="163" t="s">
        <v>152</v>
      </c>
      <c r="T39" s="270" t="str">
        <f>IF(D62="アスファルト","Ａｓ","Ｃｏ")</f>
        <v>Ａｓ</v>
      </c>
      <c r="U39" s="270"/>
      <c r="V39" s="270"/>
      <c r="W39" s="271" t="s">
        <v>153</v>
      </c>
      <c r="X39" s="271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 t="s">
        <v>154</v>
      </c>
      <c r="AU39" s="159"/>
      <c r="AV39" s="159"/>
      <c r="AW39" s="159"/>
      <c r="AX39" s="159"/>
      <c r="AY39" s="159" t="s">
        <v>121</v>
      </c>
      <c r="AZ39" s="159" t="str">
        <f>"Ｈ＝"&amp;C105&amp;"　　Ｌ＝　"&amp;IF(R44&gt;=1.5,N37,"－－")&amp;"　ｍ"</f>
        <v>Ｈ＝１．５ｍ以下　　Ｌ＝　1.5　ｍ</v>
      </c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452" t="s">
        <v>155</v>
      </c>
      <c r="BL39" s="452"/>
      <c r="BM39" s="159"/>
      <c r="BN39" s="159"/>
      <c r="BO39" s="159"/>
      <c r="BP39" s="159"/>
      <c r="BQ39" s="159"/>
      <c r="BR39" s="159"/>
      <c r="BS39" s="159"/>
      <c r="BT39" s="159"/>
      <c r="BU39" s="159"/>
      <c r="BV39" s="160"/>
      <c r="BW39" s="160"/>
      <c r="BX39" s="161"/>
      <c r="BY39" s="106"/>
      <c r="BZ39" s="201">
        <f>IF(R44&gt;=1.5,N37,0)</f>
        <v>1.5</v>
      </c>
      <c r="CA39" s="201"/>
      <c r="CB39" s="99"/>
    </row>
    <row r="40" spans="1:81" ht="6.75" customHeight="1" x14ac:dyDescent="0.4">
      <c r="A40" s="159"/>
      <c r="B40" s="159"/>
      <c r="C40" s="145"/>
      <c r="D40" s="145"/>
      <c r="E40" s="97"/>
      <c r="F40" s="96"/>
      <c r="G40" s="97"/>
      <c r="H40" s="97"/>
      <c r="I40" s="146"/>
      <c r="J40" s="259" t="s">
        <v>114</v>
      </c>
      <c r="K40" s="260"/>
      <c r="L40" s="127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8"/>
      <c r="AA40" s="147"/>
      <c r="AB40" s="148"/>
      <c r="AC40" s="148"/>
      <c r="AD40" s="148"/>
      <c r="AE40" s="148"/>
      <c r="AF40" s="149"/>
      <c r="AG40" s="265" t="s">
        <v>114</v>
      </c>
      <c r="AH40" s="260"/>
      <c r="AI40" s="150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255" t="s">
        <v>122</v>
      </c>
      <c r="AZ40" s="255" t="str">
        <f>"Ｈ＝"&amp;I105&amp;"　　Ｌ＝　"&amp;IF(AD45&gt;=1.5,T37,"－－")&amp;"　ｍ"</f>
        <v>Ｈ＝２．５ｍ以下　　Ｌ＝　1　ｍ</v>
      </c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60"/>
      <c r="BW40" s="160"/>
      <c r="BX40" s="161"/>
      <c r="BY40" s="161"/>
      <c r="BZ40" s="201">
        <f>IF(AD45&gt;=1.5,T37,0)</f>
        <v>1</v>
      </c>
      <c r="CA40" s="201"/>
      <c r="CB40" s="99"/>
    </row>
    <row r="41" spans="1:81" ht="6.75" customHeight="1" x14ac:dyDescent="0.4">
      <c r="A41" s="159"/>
      <c r="B41" s="159"/>
      <c r="C41" s="164"/>
      <c r="D41" s="164"/>
      <c r="E41" s="159"/>
      <c r="F41" s="101"/>
      <c r="G41" s="159"/>
      <c r="H41" s="159"/>
      <c r="I41" s="151"/>
      <c r="J41" s="261"/>
      <c r="K41" s="262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03"/>
      <c r="AA41" s="159"/>
      <c r="AB41" s="159"/>
      <c r="AC41" s="159"/>
      <c r="AD41" s="159"/>
      <c r="AE41" s="159"/>
      <c r="AF41" s="159"/>
      <c r="AG41" s="266"/>
      <c r="AH41" s="262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60"/>
      <c r="BW41" s="160"/>
      <c r="BX41" s="161"/>
      <c r="BY41" s="159"/>
      <c r="BZ41" s="201"/>
      <c r="CA41" s="201"/>
      <c r="CB41" s="99"/>
    </row>
    <row r="42" spans="1:81" ht="13.5" customHeight="1" x14ac:dyDescent="0.4">
      <c r="A42" s="159"/>
      <c r="B42" s="159"/>
      <c r="C42" s="164"/>
      <c r="D42" s="164"/>
      <c r="E42" s="159"/>
      <c r="F42" s="101"/>
      <c r="G42" s="159"/>
      <c r="H42" s="159"/>
      <c r="I42" s="268">
        <v>0.6</v>
      </c>
      <c r="J42" s="261"/>
      <c r="K42" s="262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03"/>
      <c r="AA42" s="159"/>
      <c r="AB42" s="159"/>
      <c r="AC42" s="159"/>
      <c r="AD42" s="159"/>
      <c r="AE42" s="159"/>
      <c r="AF42" s="159"/>
      <c r="AG42" s="266"/>
      <c r="AH42" s="262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 t="s">
        <v>156</v>
      </c>
      <c r="AU42" s="159"/>
      <c r="AV42" s="159"/>
      <c r="AW42" s="159"/>
      <c r="AX42" s="159"/>
      <c r="AY42" s="159"/>
      <c r="AZ42" s="275">
        <v>1</v>
      </c>
      <c r="BA42" s="275"/>
      <c r="BB42" s="159" t="s">
        <v>157</v>
      </c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60"/>
      <c r="BW42" s="160"/>
      <c r="BX42" s="161"/>
      <c r="BY42" s="159"/>
      <c r="BZ42" s="201"/>
      <c r="CA42" s="201"/>
      <c r="CB42" s="99"/>
    </row>
    <row r="43" spans="1:81" ht="13.5" customHeight="1" x14ac:dyDescent="0.4">
      <c r="A43" s="159"/>
      <c r="B43" s="159"/>
      <c r="C43" s="256">
        <f>D43+D49</f>
        <v>1.3</v>
      </c>
      <c r="D43" s="257">
        <v>1.2</v>
      </c>
      <c r="E43" s="159"/>
      <c r="F43" s="101"/>
      <c r="G43" s="159"/>
      <c r="H43" s="159"/>
      <c r="I43" s="268"/>
      <c r="J43" s="261"/>
      <c r="K43" s="262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03"/>
      <c r="AA43" s="159"/>
      <c r="AB43" s="159"/>
      <c r="AC43" s="159"/>
      <c r="AD43" s="159"/>
      <c r="AE43" s="159"/>
      <c r="AF43" s="159"/>
      <c r="AG43" s="266"/>
      <c r="AH43" s="262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60"/>
      <c r="BW43" s="160"/>
      <c r="BX43" s="161"/>
      <c r="BY43" s="159"/>
      <c r="BZ43" s="201"/>
      <c r="CA43" s="201"/>
      <c r="CB43" s="99"/>
    </row>
    <row r="44" spans="1:81" ht="13.5" customHeight="1" thickBot="1" x14ac:dyDescent="0.45">
      <c r="A44" s="159"/>
      <c r="B44" s="159"/>
      <c r="C44" s="256"/>
      <c r="D44" s="257"/>
      <c r="E44" s="159"/>
      <c r="F44" s="101"/>
      <c r="G44" s="165" t="s">
        <v>120</v>
      </c>
      <c r="H44" s="159"/>
      <c r="I44" s="152"/>
      <c r="J44" s="263"/>
      <c r="K44" s="264"/>
      <c r="L44" s="159"/>
      <c r="M44" s="246">
        <f>ROUND(R44-((N37*(R44-C43))/(N37+I37+G50)),2)</f>
        <v>1.37</v>
      </c>
      <c r="N44" s="159"/>
      <c r="O44" s="165" t="s">
        <v>121</v>
      </c>
      <c r="P44" s="159"/>
      <c r="Q44" s="159"/>
      <c r="R44" s="257">
        <v>1.5</v>
      </c>
      <c r="S44" s="159"/>
      <c r="T44" s="159"/>
      <c r="U44" s="258" t="s">
        <v>122</v>
      </c>
      <c r="V44" s="258"/>
      <c r="W44" s="258"/>
      <c r="X44" s="258"/>
      <c r="Y44" s="159"/>
      <c r="Z44" s="103"/>
      <c r="AA44" s="159"/>
      <c r="AB44" s="257">
        <v>2.1</v>
      </c>
      <c r="AC44" s="159"/>
      <c r="AD44" s="159"/>
      <c r="AE44" s="159"/>
      <c r="AF44" s="159"/>
      <c r="AG44" s="267"/>
      <c r="AH44" s="264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60"/>
      <c r="BW44" s="160"/>
      <c r="BX44" s="161"/>
      <c r="BY44" s="159"/>
      <c r="BZ44" s="201"/>
      <c r="CA44" s="201"/>
      <c r="CB44" s="99"/>
    </row>
    <row r="45" spans="1:81" ht="13.5" customHeight="1" x14ac:dyDescent="0.4">
      <c r="A45" s="159"/>
      <c r="B45" s="159"/>
      <c r="C45" s="241" t="s">
        <v>158</v>
      </c>
      <c r="D45" s="241" t="s">
        <v>159</v>
      </c>
      <c r="E45" s="159"/>
      <c r="F45" s="101"/>
      <c r="G45" s="159"/>
      <c r="H45" s="159"/>
      <c r="I45" s="107"/>
      <c r="J45" s="159"/>
      <c r="K45" s="103"/>
      <c r="L45" s="159"/>
      <c r="M45" s="246"/>
      <c r="N45" s="159"/>
      <c r="O45" s="159"/>
      <c r="P45" s="159"/>
      <c r="Q45" s="159"/>
      <c r="R45" s="257"/>
      <c r="S45" s="159"/>
      <c r="T45" s="159"/>
      <c r="U45" s="159"/>
      <c r="V45" s="159"/>
      <c r="W45" s="159"/>
      <c r="X45" s="159"/>
      <c r="Y45" s="159"/>
      <c r="Z45" s="103"/>
      <c r="AA45" s="159"/>
      <c r="AB45" s="257"/>
      <c r="AC45" s="159"/>
      <c r="AD45" s="250">
        <f>AB44+AB51+AB54</f>
        <v>2.4700000000000002</v>
      </c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BK45" s="190"/>
      <c r="BL45" s="190"/>
      <c r="BM45" s="190"/>
      <c r="BN45" s="191"/>
      <c r="BO45" s="190"/>
      <c r="BP45" s="191"/>
      <c r="BQ45" s="190"/>
      <c r="BR45" s="191"/>
      <c r="BS45" s="190"/>
      <c r="BT45" s="190"/>
      <c r="BV45" s="159"/>
      <c r="BW45" s="159"/>
      <c r="BX45" s="161"/>
      <c r="BY45" s="161"/>
      <c r="BZ45" s="201"/>
      <c r="CA45" s="201"/>
      <c r="CB45" s="99"/>
    </row>
    <row r="46" spans="1:81" ht="13.5" customHeight="1" x14ac:dyDescent="0.35">
      <c r="A46" s="159"/>
      <c r="B46" s="159"/>
      <c r="C46" s="241"/>
      <c r="D46" s="241"/>
      <c r="E46" s="159"/>
      <c r="F46" s="101"/>
      <c r="G46" s="159"/>
      <c r="H46" s="159"/>
      <c r="I46" s="107"/>
      <c r="J46" s="159"/>
      <c r="K46" s="103"/>
      <c r="L46" s="159"/>
      <c r="M46" s="159"/>
      <c r="N46" s="159"/>
      <c r="O46" s="252"/>
      <c r="P46" s="252"/>
      <c r="Q46" s="172"/>
      <c r="R46" s="159"/>
      <c r="S46" s="159"/>
      <c r="T46" s="159"/>
      <c r="U46" s="159"/>
      <c r="V46" s="159"/>
      <c r="W46" s="159"/>
      <c r="X46" s="159"/>
      <c r="Y46" s="159"/>
      <c r="Z46" s="103"/>
      <c r="AA46" s="159"/>
      <c r="AB46" s="241" t="s">
        <v>160</v>
      </c>
      <c r="AC46" s="159"/>
      <c r="AD46" s="251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BK46" s="190"/>
      <c r="BL46" s="190"/>
      <c r="BM46" s="190"/>
      <c r="BN46" s="190"/>
      <c r="BO46" s="190"/>
      <c r="BP46" s="190"/>
      <c r="BQ46" s="190"/>
      <c r="BR46" s="190"/>
      <c r="BS46" s="190"/>
      <c r="BT46" s="190"/>
      <c r="BU46" s="159"/>
      <c r="BV46" s="159"/>
      <c r="BW46" s="159"/>
      <c r="BX46" s="161"/>
      <c r="BY46" s="161"/>
      <c r="BZ46" s="201">
        <f>VLOOKUP($AF$95,$AA$98:$AU$103,7)</f>
        <v>0</v>
      </c>
      <c r="CA46" s="201"/>
      <c r="CB46" s="99"/>
    </row>
    <row r="47" spans="1:81" ht="13.5" customHeight="1" x14ac:dyDescent="0.4">
      <c r="A47" s="159"/>
      <c r="B47" s="159"/>
      <c r="C47" s="241"/>
      <c r="D47" s="241"/>
      <c r="E47" s="159"/>
      <c r="F47" s="101"/>
      <c r="G47" s="159"/>
      <c r="H47" s="159"/>
      <c r="I47" s="107"/>
      <c r="J47" s="159"/>
      <c r="K47" s="103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03"/>
      <c r="AA47" s="159"/>
      <c r="AB47" s="241"/>
      <c r="AC47" s="159"/>
      <c r="AD47" s="251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R47" s="183"/>
      <c r="BK47" s="192"/>
      <c r="BL47" s="193"/>
      <c r="BM47" s="297"/>
      <c r="BN47" s="297"/>
      <c r="BO47" s="297"/>
      <c r="BP47" s="297"/>
      <c r="BQ47" s="297"/>
      <c r="BR47" s="297"/>
      <c r="BS47" s="297"/>
      <c r="BT47" s="297"/>
      <c r="BU47" s="189"/>
      <c r="BV47" s="189"/>
      <c r="BW47" s="189"/>
      <c r="BX47" s="161"/>
      <c r="BY47" s="161"/>
      <c r="BZ47" s="201">
        <f>VLOOKUP($AF$95,$AA$98:$AU$103,9)</f>
        <v>0</v>
      </c>
      <c r="CA47" s="201"/>
      <c r="CB47" s="99"/>
    </row>
    <row r="48" spans="1:81" ht="13.5" customHeight="1" x14ac:dyDescent="0.4">
      <c r="A48" s="159"/>
      <c r="B48" s="159"/>
      <c r="C48" s="241"/>
      <c r="D48" s="253"/>
      <c r="E48" s="97"/>
      <c r="F48" s="153"/>
      <c r="G48" s="134"/>
      <c r="H48" s="134"/>
      <c r="I48" s="107"/>
      <c r="J48" s="159"/>
      <c r="K48" s="103"/>
      <c r="L48" s="159"/>
      <c r="M48" s="159"/>
      <c r="N48" s="159"/>
      <c r="O48" s="159"/>
      <c r="P48" s="159"/>
      <c r="Q48" s="159"/>
      <c r="R48" s="159"/>
      <c r="S48" s="159"/>
      <c r="T48" s="255">
        <f>O55</f>
        <v>1.05</v>
      </c>
      <c r="U48" s="255"/>
      <c r="V48" s="255"/>
      <c r="W48" s="255"/>
      <c r="X48" s="255"/>
      <c r="Y48" s="159"/>
      <c r="Z48" s="103"/>
      <c r="AA48" s="159"/>
      <c r="AB48" s="241"/>
      <c r="AC48" s="159"/>
      <c r="AD48" s="241" t="s">
        <v>158</v>
      </c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T48" s="187"/>
      <c r="AU48" s="187"/>
      <c r="AV48" s="187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4"/>
      <c r="BJ48" s="184"/>
      <c r="BK48" s="194"/>
      <c r="BL48" s="190"/>
      <c r="BM48" s="190"/>
      <c r="BN48" s="190"/>
      <c r="BO48" s="190"/>
      <c r="BP48" s="195"/>
      <c r="BQ48" s="182"/>
      <c r="BR48" s="182"/>
      <c r="BS48" s="182"/>
      <c r="BT48" s="182"/>
      <c r="BU48" s="159"/>
      <c r="BV48" s="159"/>
      <c r="BW48" s="159"/>
      <c r="BX48" s="161"/>
      <c r="BY48" s="161"/>
      <c r="BZ48" s="201"/>
      <c r="CA48" s="201"/>
      <c r="CB48" s="99"/>
    </row>
    <row r="49" spans="1:80" ht="13.5" customHeight="1" x14ac:dyDescent="0.4">
      <c r="A49" s="159"/>
      <c r="B49" s="159"/>
      <c r="C49" s="164"/>
      <c r="D49" s="242">
        <v>0.1</v>
      </c>
      <c r="E49" s="159"/>
      <c r="F49" s="159"/>
      <c r="G49" s="159"/>
      <c r="H49" s="159"/>
      <c r="I49" s="107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03"/>
      <c r="AA49" s="159"/>
      <c r="AB49" s="241"/>
      <c r="AC49" s="159"/>
      <c r="AD49" s="241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BG49" s="186"/>
      <c r="BK49" s="295"/>
      <c r="BL49" s="295"/>
      <c r="BM49" s="295"/>
      <c r="BN49" s="295"/>
      <c r="BO49" s="295"/>
      <c r="BP49" s="295"/>
      <c r="BQ49" s="295"/>
      <c r="BR49" s="295"/>
      <c r="BS49" s="296"/>
      <c r="BT49" s="182"/>
      <c r="BU49" s="159"/>
      <c r="BV49" s="159"/>
      <c r="BW49" s="159"/>
      <c r="BX49" s="161"/>
      <c r="BY49" s="161"/>
      <c r="BZ49" s="201"/>
      <c r="CA49" s="201"/>
      <c r="CB49" s="99"/>
    </row>
    <row r="50" spans="1:80" ht="13.5" customHeight="1" x14ac:dyDescent="0.4">
      <c r="A50" s="159"/>
      <c r="B50" s="159"/>
      <c r="C50" s="164"/>
      <c r="D50" s="243"/>
      <c r="E50" s="159"/>
      <c r="F50" s="159"/>
      <c r="G50" s="244">
        <f>G24</f>
        <v>0.3</v>
      </c>
      <c r="H50" s="245"/>
      <c r="I50" s="107"/>
      <c r="J50" s="159"/>
      <c r="K50" s="458" t="s">
        <v>161</v>
      </c>
      <c r="L50" s="458"/>
      <c r="M50" s="196"/>
      <c r="N50" s="159"/>
      <c r="O50" s="159"/>
      <c r="P50" s="246">
        <f>ROUND(AD45-R44,2)</f>
        <v>0.97</v>
      </c>
      <c r="Q50" s="97"/>
      <c r="R50" s="103"/>
      <c r="S50" s="101"/>
      <c r="T50" s="159"/>
      <c r="U50" s="159"/>
      <c r="V50" s="159"/>
      <c r="W50" s="159"/>
      <c r="X50" s="159"/>
      <c r="Y50" s="159"/>
      <c r="Z50" s="98"/>
      <c r="AA50" s="159"/>
      <c r="AB50" s="253"/>
      <c r="AC50" s="159"/>
      <c r="AD50" s="241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BL50" s="183"/>
      <c r="BM50" s="183"/>
      <c r="BN50" s="183"/>
      <c r="BO50" s="183"/>
      <c r="BP50" s="159"/>
      <c r="BQ50" s="159"/>
      <c r="BR50" s="159"/>
      <c r="BS50" s="159"/>
      <c r="BT50" s="159"/>
      <c r="BU50" s="159"/>
      <c r="BV50" s="159"/>
      <c r="BW50" s="159"/>
      <c r="BX50" s="161"/>
      <c r="BY50" s="161"/>
      <c r="BZ50" s="201">
        <f>VLOOKUP($AF$95,$AA$98:$AU$103,13)</f>
        <v>0</v>
      </c>
      <c r="CA50" s="201"/>
      <c r="CB50" s="99"/>
    </row>
    <row r="51" spans="1:80" ht="13.5" customHeight="1" x14ac:dyDescent="0.4">
      <c r="A51" s="159"/>
      <c r="B51" s="159"/>
      <c r="C51" s="159"/>
      <c r="D51" s="159"/>
      <c r="E51" s="159"/>
      <c r="F51" s="159"/>
      <c r="G51" s="101"/>
      <c r="H51" s="108"/>
      <c r="I51" s="159"/>
      <c r="J51" s="159"/>
      <c r="K51" s="159"/>
      <c r="L51" s="159"/>
      <c r="M51" s="159"/>
      <c r="N51" s="159"/>
      <c r="O51" s="159"/>
      <c r="P51" s="246"/>
      <c r="Q51" s="159"/>
      <c r="R51" s="159"/>
      <c r="S51" s="101"/>
      <c r="T51" s="159"/>
      <c r="U51" s="159"/>
      <c r="V51" s="159"/>
      <c r="W51" s="159"/>
      <c r="X51" s="159"/>
      <c r="Y51" s="243">
        <f>AB51+AB54+0.1</f>
        <v>0.47</v>
      </c>
      <c r="Z51" s="247"/>
      <c r="AA51" s="159"/>
      <c r="AB51" s="248">
        <f>AE68</f>
        <v>0.27</v>
      </c>
      <c r="AC51" s="159"/>
      <c r="AD51" s="241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BL51" s="183"/>
      <c r="BM51" s="183"/>
      <c r="BN51" s="183"/>
      <c r="BO51" s="183"/>
      <c r="BP51" s="159"/>
      <c r="BQ51" s="159"/>
      <c r="BR51" s="159"/>
      <c r="BS51" s="159"/>
      <c r="BT51" s="159"/>
      <c r="BU51" s="159"/>
      <c r="BV51" s="159"/>
      <c r="BW51" s="159"/>
      <c r="BX51" s="161"/>
      <c r="BY51" s="161"/>
      <c r="BZ51" s="201">
        <f>VLOOKUP($AF$95,$AA$98:$AU$103,15)</f>
        <v>0</v>
      </c>
      <c r="CA51" s="201"/>
      <c r="CB51" s="99"/>
    </row>
    <row r="52" spans="1:80" ht="13.5" customHeight="1" x14ac:dyDescent="0.4">
      <c r="A52" s="159"/>
      <c r="B52" s="159"/>
      <c r="C52" s="159"/>
      <c r="D52" s="159"/>
      <c r="E52" s="159"/>
      <c r="F52" s="159"/>
      <c r="G52" s="101"/>
      <c r="H52" s="159"/>
      <c r="I52" s="159"/>
      <c r="J52" s="159"/>
      <c r="K52" s="159"/>
      <c r="L52" s="159"/>
      <c r="M52" s="159"/>
      <c r="N52" s="159"/>
      <c r="O52" s="159"/>
      <c r="P52" s="246"/>
      <c r="Q52" s="159"/>
      <c r="R52" s="159"/>
      <c r="S52" s="101"/>
      <c r="T52" s="159"/>
      <c r="U52" s="159"/>
      <c r="V52" s="159"/>
      <c r="W52" s="159"/>
      <c r="X52" s="159"/>
      <c r="Y52" s="243"/>
      <c r="Z52" s="247"/>
      <c r="AA52" s="159"/>
      <c r="AB52" s="24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40"/>
      <c r="BJ52" s="240"/>
      <c r="BK52" s="240"/>
      <c r="BL52" s="183"/>
      <c r="BM52" s="183"/>
      <c r="BN52" s="183"/>
      <c r="BO52" s="183"/>
      <c r="BP52" s="159"/>
      <c r="BQ52" s="159"/>
      <c r="BR52" s="159"/>
      <c r="BS52" s="159"/>
      <c r="BT52" s="159"/>
      <c r="BU52" s="159"/>
      <c r="BV52" s="159"/>
      <c r="BW52" s="159"/>
      <c r="BX52" s="161"/>
      <c r="BY52" s="161"/>
      <c r="BZ52" s="201">
        <f>VLOOKUP($AF$95,$AA$98:$AU$103,17)</f>
        <v>0</v>
      </c>
      <c r="CA52" s="201"/>
      <c r="CB52" s="99"/>
    </row>
    <row r="53" spans="1:80" ht="13.5" customHeight="1" x14ac:dyDescent="0.4">
      <c r="A53" s="159"/>
      <c r="B53" s="159"/>
      <c r="C53" s="159"/>
      <c r="D53" s="159"/>
      <c r="E53" s="159"/>
      <c r="F53" s="159"/>
      <c r="G53" s="101"/>
      <c r="H53" s="159"/>
      <c r="I53" s="159"/>
      <c r="J53" s="159"/>
      <c r="K53" s="159"/>
      <c r="L53" s="159"/>
      <c r="M53" s="159"/>
      <c r="N53" s="159"/>
      <c r="O53" s="159"/>
      <c r="P53" s="246"/>
      <c r="Q53" s="134"/>
      <c r="R53" s="159"/>
      <c r="S53" s="135"/>
      <c r="T53" s="134"/>
      <c r="U53" s="134"/>
      <c r="V53" s="142"/>
      <c r="W53" s="134"/>
      <c r="X53" s="134"/>
      <c r="Y53" s="134"/>
      <c r="Z53" s="142"/>
      <c r="AA53" s="159"/>
      <c r="AB53" s="134"/>
      <c r="AC53" s="134"/>
      <c r="AD53" s="134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239"/>
      <c r="AT53" s="240"/>
      <c r="AU53" s="240"/>
      <c r="AV53" s="240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40"/>
      <c r="BJ53" s="240"/>
      <c r="BK53" s="240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64"/>
      <c r="BX53" s="161"/>
      <c r="BY53" s="161"/>
      <c r="BZ53" s="201">
        <f>VLOOKUP($AF$95,$AA$98:$AU$103,19)</f>
        <v>0</v>
      </c>
      <c r="CA53" s="201"/>
      <c r="CB53" s="99"/>
    </row>
    <row r="54" spans="1:80" ht="13.5" customHeight="1" x14ac:dyDescent="0.4">
      <c r="A54" s="159"/>
      <c r="B54" s="159"/>
      <c r="C54" s="159"/>
      <c r="D54" s="159"/>
      <c r="E54" s="159"/>
      <c r="F54" s="159"/>
      <c r="G54" s="101"/>
      <c r="H54" s="159"/>
      <c r="I54" s="159"/>
      <c r="J54" s="159"/>
      <c r="K54" s="160"/>
      <c r="L54" s="160"/>
      <c r="M54" s="159"/>
      <c r="N54" s="159"/>
      <c r="O54" s="159"/>
      <c r="P54" s="159"/>
      <c r="Q54" s="159"/>
      <c r="R54" s="159"/>
      <c r="S54" s="159"/>
      <c r="T54" s="159"/>
      <c r="U54" s="159"/>
      <c r="V54" s="103"/>
      <c r="W54" s="159"/>
      <c r="X54" s="159"/>
      <c r="Y54" s="159"/>
      <c r="Z54" s="159"/>
      <c r="AA54" s="159"/>
      <c r="AB54" s="231">
        <v>0.1</v>
      </c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229"/>
      <c r="BX54" s="161"/>
      <c r="BY54" s="159"/>
      <c r="BZ54" s="201">
        <f>VLOOKUP($AF$95,$AA$98:$AU$103,21)</f>
        <v>0</v>
      </c>
      <c r="CA54" s="201"/>
      <c r="CB54" s="99"/>
    </row>
    <row r="55" spans="1:80" ht="13.5" customHeight="1" x14ac:dyDescent="0.4">
      <c r="A55" s="159"/>
      <c r="B55" s="159"/>
      <c r="C55" s="159"/>
      <c r="D55" s="159"/>
      <c r="E55" s="159"/>
      <c r="F55" s="159"/>
      <c r="G55" s="101"/>
      <c r="H55" s="159"/>
      <c r="I55" s="159"/>
      <c r="J55" s="160"/>
      <c r="K55" s="173" t="s">
        <v>162</v>
      </c>
      <c r="L55" s="233">
        <f>G50+I37+N37</f>
        <v>2.25</v>
      </c>
      <c r="M55" s="234"/>
      <c r="N55" s="164" t="s">
        <v>163</v>
      </c>
      <c r="O55" s="229">
        <f>IF(R44=AD45,T37-W14,ROUND((T37-W14)/(SIN(ATAN((T37-W14)/(P50+0.185-AB54-AB51/2)))),2))</f>
        <v>1.05</v>
      </c>
      <c r="P55" s="229"/>
      <c r="Q55" s="160" t="s">
        <v>164</v>
      </c>
      <c r="R55" s="235">
        <f>L55+O55</f>
        <v>3.3</v>
      </c>
      <c r="S55" s="235"/>
      <c r="T55" s="159" t="s">
        <v>108</v>
      </c>
      <c r="U55" s="159"/>
      <c r="V55" s="103"/>
      <c r="W55" s="159"/>
      <c r="X55" s="159"/>
      <c r="Y55" s="159"/>
      <c r="Z55" s="159"/>
      <c r="AA55" s="159"/>
      <c r="AB55" s="232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39"/>
      <c r="BE55" s="239"/>
      <c r="BF55" s="239"/>
      <c r="BG55" s="239"/>
      <c r="BH55" s="239"/>
      <c r="BI55" s="239"/>
      <c r="BJ55" s="239"/>
      <c r="BK55" s="239"/>
      <c r="BP55" s="159"/>
      <c r="BQ55" s="159"/>
      <c r="BR55" s="159"/>
      <c r="BS55" s="159"/>
      <c r="BT55" s="159"/>
      <c r="BU55" s="159"/>
      <c r="BV55" s="159"/>
      <c r="BW55" s="229"/>
      <c r="BX55" s="161"/>
      <c r="BY55" s="159"/>
      <c r="BZ55" s="201"/>
      <c r="CA55" s="201"/>
      <c r="CB55" s="99"/>
    </row>
    <row r="56" spans="1:80" ht="13.5" customHeight="1" x14ac:dyDescent="0.25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74" t="s">
        <v>123</v>
      </c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64"/>
      <c r="BX56" s="161"/>
      <c r="BY56" s="159"/>
      <c r="BZ56" s="201"/>
      <c r="CA56" s="201"/>
      <c r="CB56" s="99"/>
    </row>
    <row r="57" spans="1:80" ht="13.5" customHeight="1" x14ac:dyDescent="0.4">
      <c r="A57" s="159"/>
      <c r="B57" s="159"/>
      <c r="C57" s="159"/>
      <c r="D57" s="159"/>
      <c r="E57" s="159"/>
      <c r="F57" s="159"/>
      <c r="G57" s="159"/>
      <c r="H57" s="159"/>
      <c r="I57" s="159"/>
      <c r="J57" s="159"/>
      <c r="K57" s="160"/>
      <c r="L57" s="160"/>
      <c r="M57" s="160"/>
      <c r="N57" s="160"/>
      <c r="O57" s="160"/>
      <c r="P57" s="159"/>
      <c r="Q57" s="160"/>
      <c r="R57" s="160"/>
      <c r="S57" s="159"/>
      <c r="T57" s="159"/>
      <c r="U57" s="159"/>
      <c r="V57" s="159"/>
      <c r="W57" s="159"/>
      <c r="X57" s="159"/>
      <c r="Y57" s="159"/>
      <c r="Z57" s="159"/>
      <c r="AA57" s="175" t="str">
        <f>AB18</f>
        <v>φ２５０ＶＵ</v>
      </c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61"/>
      <c r="BY57" s="159"/>
      <c r="BZ57" s="201"/>
      <c r="CA57" s="201"/>
      <c r="CB57" s="99"/>
    </row>
    <row r="58" spans="1:80" ht="13.5" customHeight="1" x14ac:dyDescent="0.4">
      <c r="A58" s="159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76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U58" s="183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61"/>
      <c r="BY58" s="159"/>
      <c r="BZ58" s="201"/>
      <c r="CA58" s="201"/>
      <c r="CB58" s="99"/>
    </row>
    <row r="59" spans="1:80" ht="13.5" customHeight="1" x14ac:dyDescent="0.4">
      <c r="A59" s="159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64"/>
      <c r="BR59" s="159"/>
      <c r="BS59" s="164"/>
      <c r="BT59" s="159"/>
      <c r="BU59" s="159" t="s">
        <v>167</v>
      </c>
      <c r="BV59" s="159"/>
      <c r="BW59" s="159"/>
      <c r="BX59" s="161"/>
      <c r="BY59" s="159"/>
      <c r="BZ59" s="201"/>
      <c r="CA59" s="201"/>
      <c r="CB59" s="99"/>
    </row>
    <row r="60" spans="1:80" ht="13.5" customHeight="1" x14ac:dyDescent="0.4">
      <c r="A60" s="159"/>
      <c r="B60" s="177"/>
      <c r="C60" s="159"/>
      <c r="D60" s="159"/>
      <c r="E60" s="159"/>
      <c r="F60" s="159"/>
      <c r="G60" s="159"/>
      <c r="H60" s="159"/>
      <c r="I60" s="159"/>
      <c r="J60" s="159"/>
      <c r="K60" s="159"/>
      <c r="L60" s="178" t="s">
        <v>168</v>
      </c>
      <c r="M60" s="159"/>
      <c r="N60" s="159"/>
      <c r="O60" s="159"/>
      <c r="P60" s="159"/>
      <c r="Q60" s="159"/>
      <c r="R60" s="159"/>
      <c r="S60" s="159"/>
      <c r="T60" s="159"/>
      <c r="U60" s="159"/>
      <c r="V60" s="179"/>
      <c r="W60" s="159"/>
      <c r="X60" s="159"/>
      <c r="Y60" s="159"/>
      <c r="Z60" s="159"/>
      <c r="AA60" s="159"/>
      <c r="AB60" s="159"/>
      <c r="AC60" s="178" t="s">
        <v>169</v>
      </c>
      <c r="AD60" s="237" t="s">
        <v>170</v>
      </c>
      <c r="AE60" s="237"/>
      <c r="AF60" s="179"/>
      <c r="AG60" s="178" t="s">
        <v>143</v>
      </c>
      <c r="AH60" s="238" t="str">
        <f>VLOOKUP(AF95,AA98:AE103,3)</f>
        <v>パターン②</v>
      </c>
      <c r="AI60" s="238"/>
      <c r="AJ60" s="238"/>
      <c r="AK60" s="238"/>
      <c r="AL60" s="180" t="s">
        <v>144</v>
      </c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61"/>
      <c r="BY60" s="159"/>
      <c r="BZ60" s="201"/>
      <c r="CA60" s="201"/>
      <c r="CB60" s="99"/>
    </row>
    <row r="61" spans="1:80" ht="13.5" customHeight="1" x14ac:dyDescent="0.4">
      <c r="A61" s="159"/>
      <c r="B61" s="159"/>
      <c r="C61" s="163" t="s">
        <v>171</v>
      </c>
      <c r="D61" s="236" t="s">
        <v>172</v>
      </c>
      <c r="E61" s="236"/>
      <c r="F61" s="236"/>
      <c r="G61" s="236"/>
      <c r="H61" s="181"/>
      <c r="I61" s="159"/>
      <c r="J61" s="159"/>
      <c r="K61" s="163" t="s">
        <v>173</v>
      </c>
      <c r="L61" s="229">
        <f>K68</f>
        <v>3</v>
      </c>
      <c r="M61" s="229"/>
      <c r="N61" s="159" t="s">
        <v>149</v>
      </c>
      <c r="O61" s="163" t="s">
        <v>152</v>
      </c>
      <c r="P61" s="230" t="str">
        <f>IF(F68=200,"再生細粒度ｱｽｺﾝ13F","再生密粒度ｱｽｺﾝ13F")</f>
        <v>再生密粒度ｱｽｺﾝ13F</v>
      </c>
      <c r="Q61" s="230"/>
      <c r="R61" s="230"/>
      <c r="S61" s="230"/>
      <c r="T61" s="230"/>
      <c r="U61" s="230"/>
      <c r="V61" s="230"/>
      <c r="W61" s="230"/>
      <c r="X61" s="230"/>
      <c r="Y61" s="159" t="s">
        <v>153</v>
      </c>
      <c r="Z61" s="159"/>
      <c r="AA61" s="159"/>
      <c r="AB61" s="163" t="s">
        <v>173</v>
      </c>
      <c r="AC61" s="229">
        <f>K69</f>
        <v>5</v>
      </c>
      <c r="AD61" s="229"/>
      <c r="AE61" s="159" t="s">
        <v>149</v>
      </c>
      <c r="AF61" s="163" t="s">
        <v>152</v>
      </c>
      <c r="AG61" s="229" t="str">
        <f>O69</f>
        <v>再生密粒度ｱｽｺﾝ20F</v>
      </c>
      <c r="AH61" s="229"/>
      <c r="AI61" s="229"/>
      <c r="AJ61" s="229"/>
      <c r="AK61" s="229"/>
      <c r="AL61" s="229"/>
      <c r="AM61" s="159" t="s">
        <v>153</v>
      </c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61"/>
      <c r="BY61" s="159"/>
      <c r="BZ61" s="201"/>
      <c r="CA61" s="201"/>
      <c r="CB61" s="99"/>
    </row>
    <row r="62" spans="1:80" ht="13.5" customHeight="1" x14ac:dyDescent="0.4">
      <c r="A62" s="159"/>
      <c r="B62" s="159"/>
      <c r="C62" s="159"/>
      <c r="D62" s="228" t="s">
        <v>174</v>
      </c>
      <c r="E62" s="228"/>
      <c r="F62" s="228"/>
      <c r="G62" s="228"/>
      <c r="H62" s="181"/>
      <c r="I62" s="159"/>
      <c r="J62" s="159"/>
      <c r="K62" s="163" t="s">
        <v>175</v>
      </c>
      <c r="L62" s="229">
        <f>K72</f>
        <v>17</v>
      </c>
      <c r="M62" s="229"/>
      <c r="N62" s="159" t="s">
        <v>149</v>
      </c>
      <c r="O62" s="163" t="s">
        <v>152</v>
      </c>
      <c r="P62" s="230" t="str">
        <f>O72</f>
        <v>粒調砕石M-40</v>
      </c>
      <c r="Q62" s="230"/>
      <c r="R62" s="230"/>
      <c r="S62" s="230"/>
      <c r="T62" s="230"/>
      <c r="U62" s="230"/>
      <c r="V62" s="230"/>
      <c r="W62" s="230"/>
      <c r="X62" s="230"/>
      <c r="Y62" s="159" t="s">
        <v>153</v>
      </c>
      <c r="Z62" s="159"/>
      <c r="AA62" s="159"/>
      <c r="AB62" s="163" t="s">
        <v>176</v>
      </c>
      <c r="AC62" s="229" t="str">
        <f>K70</f>
        <v>－</v>
      </c>
      <c r="AD62" s="229"/>
      <c r="AE62" s="159" t="s">
        <v>149</v>
      </c>
      <c r="AF62" s="163" t="s">
        <v>152</v>
      </c>
      <c r="AG62" s="229" t="str">
        <f>O70</f>
        <v>－</v>
      </c>
      <c r="AH62" s="229"/>
      <c r="AI62" s="229"/>
      <c r="AJ62" s="229"/>
      <c r="AK62" s="229"/>
      <c r="AL62" s="229"/>
      <c r="AM62" s="159" t="s">
        <v>153</v>
      </c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61"/>
      <c r="BY62" s="159"/>
      <c r="BZ62" s="201"/>
      <c r="CA62" s="201"/>
      <c r="CB62" s="99"/>
    </row>
    <row r="63" spans="1:80" ht="13.5" customHeight="1" x14ac:dyDescent="0.4">
      <c r="A63" s="159"/>
      <c r="B63" s="159"/>
      <c r="C63" s="163" t="s">
        <v>177</v>
      </c>
      <c r="D63" s="228" t="s">
        <v>178</v>
      </c>
      <c r="E63" s="228"/>
      <c r="F63" s="228"/>
      <c r="G63" s="228"/>
      <c r="H63" s="181"/>
      <c r="I63" s="159"/>
      <c r="J63" s="159"/>
      <c r="K63" s="163" t="s">
        <v>179</v>
      </c>
      <c r="L63" s="229">
        <v>25</v>
      </c>
      <c r="M63" s="229"/>
      <c r="N63" s="159" t="s">
        <v>149</v>
      </c>
      <c r="O63" s="163" t="s">
        <v>152</v>
      </c>
      <c r="P63" s="230" t="str">
        <f>O73</f>
        <v>再生ｸﾗｯｼｬｰﾗﾝ40-0</v>
      </c>
      <c r="Q63" s="230"/>
      <c r="R63" s="230"/>
      <c r="S63" s="230"/>
      <c r="T63" s="230"/>
      <c r="U63" s="230"/>
      <c r="V63" s="230"/>
      <c r="W63" s="230"/>
      <c r="X63" s="230"/>
      <c r="Y63" s="159" t="s">
        <v>153</v>
      </c>
      <c r="Z63" s="159"/>
      <c r="AA63" s="159"/>
      <c r="AB63" s="163" t="s">
        <v>180</v>
      </c>
      <c r="AC63" s="229" t="str">
        <f>K71</f>
        <v>－</v>
      </c>
      <c r="AD63" s="229"/>
      <c r="AE63" s="159" t="s">
        <v>149</v>
      </c>
      <c r="AF63" s="163" t="s">
        <v>152</v>
      </c>
      <c r="AG63" s="229" t="str">
        <f>O71</f>
        <v>－</v>
      </c>
      <c r="AH63" s="229"/>
      <c r="AI63" s="229"/>
      <c r="AJ63" s="229"/>
      <c r="AK63" s="229"/>
      <c r="AL63" s="229"/>
      <c r="AM63" s="159" t="s">
        <v>153</v>
      </c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61"/>
      <c r="BY63" s="159"/>
      <c r="BZ63" s="201"/>
      <c r="CA63" s="201"/>
      <c r="CB63" s="99"/>
    </row>
    <row r="64" spans="1:80" ht="13.5" customHeight="1" thickBot="1" x14ac:dyDescent="0.45">
      <c r="A64" s="159"/>
      <c r="B64" s="159"/>
      <c r="C64" s="163" t="s">
        <v>181</v>
      </c>
      <c r="D64" s="225">
        <v>1</v>
      </c>
      <c r="E64" s="225"/>
      <c r="F64" s="225"/>
      <c r="G64" s="225"/>
      <c r="H64" s="159"/>
      <c r="I64" s="159"/>
      <c r="J64" s="159"/>
      <c r="K64" s="163" t="s">
        <v>182</v>
      </c>
      <c r="L64" s="226">
        <f>SUM(L61:M63)</f>
        <v>45</v>
      </c>
      <c r="M64" s="226"/>
      <c r="N64" s="159" t="s">
        <v>149</v>
      </c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60"/>
      <c r="AU64" s="160"/>
      <c r="AV64" s="160"/>
      <c r="AW64" s="160"/>
      <c r="AX64" s="160"/>
      <c r="AY64" s="160"/>
      <c r="AZ64" s="160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61"/>
      <c r="BY64" s="159"/>
      <c r="BZ64" s="201"/>
      <c r="CA64" s="201"/>
      <c r="CB64" s="99"/>
    </row>
    <row r="65" spans="1:80" ht="13.5" customHeight="1" thickTop="1" x14ac:dyDescent="0.4">
      <c r="A65" s="159"/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60"/>
      <c r="AU65" s="160"/>
      <c r="AV65" s="160"/>
      <c r="AW65" s="160"/>
      <c r="AX65" s="160"/>
      <c r="AY65" s="160"/>
      <c r="AZ65" s="160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61"/>
      <c r="BY65" s="159"/>
      <c r="BZ65" s="201"/>
      <c r="CA65" s="201"/>
      <c r="CB65" s="99"/>
    </row>
    <row r="66" spans="1:80" x14ac:dyDescent="0.4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106"/>
      <c r="BW66" s="106"/>
      <c r="BX66" s="106"/>
      <c r="BY66" s="99"/>
      <c r="BZ66" s="99"/>
      <c r="CA66" s="99"/>
    </row>
    <row r="67" spans="1:80" ht="19.5" hidden="1" thickBot="1" x14ac:dyDescent="0.45">
      <c r="A67" s="154" t="s">
        <v>183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154" t="s">
        <v>184</v>
      </c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106"/>
      <c r="BW67" s="106"/>
      <c r="BX67" s="106"/>
      <c r="BY67" s="99"/>
      <c r="BZ67" s="99"/>
      <c r="CA67" s="99"/>
    </row>
    <row r="68" spans="1:80" ht="19.5" hidden="1" thickBot="1" x14ac:dyDescent="0.45">
      <c r="A68" s="99"/>
      <c r="B68" s="99"/>
      <c r="C68" s="99"/>
      <c r="D68" s="99"/>
      <c r="E68" s="104" t="str">
        <f>D61</f>
        <v>車　道</v>
      </c>
      <c r="F68" s="199">
        <f>IF(D61="車　道",100,IF(D61="歩　道",200,"E"))</f>
        <v>100</v>
      </c>
      <c r="G68" s="199"/>
      <c r="H68" s="99"/>
      <c r="I68" s="99"/>
      <c r="J68" s="104" t="s">
        <v>185</v>
      </c>
      <c r="K68" s="198">
        <f>VLOOKUP($F$71,$A$77:$X$89,6,FALSE)</f>
        <v>3</v>
      </c>
      <c r="L68" s="198"/>
      <c r="M68" s="99" t="s">
        <v>149</v>
      </c>
      <c r="N68" s="104" t="s">
        <v>152</v>
      </c>
      <c r="O68" s="199" t="str">
        <f>VLOOKUP($F$71,$A$91:$X$103,6,FALSE)</f>
        <v>再生密粒度ｱｽｺﾝ13F</v>
      </c>
      <c r="P68" s="199"/>
      <c r="Q68" s="199"/>
      <c r="R68" s="199"/>
      <c r="S68" s="99" t="s">
        <v>153</v>
      </c>
      <c r="T68" s="99"/>
      <c r="U68" s="99"/>
      <c r="V68" s="99"/>
      <c r="W68" s="99"/>
      <c r="X68" s="99"/>
      <c r="Y68" s="99"/>
      <c r="Z68" s="155">
        <f>AH88</f>
        <v>3</v>
      </c>
      <c r="AA68" s="227" t="str">
        <f>AB18</f>
        <v>φ２５０ＶＵ</v>
      </c>
      <c r="AB68" s="227"/>
      <c r="AC68" s="227"/>
      <c r="AD68" s="227"/>
      <c r="AE68" s="201">
        <f>VLOOKUP(Z68,Z70:AF87,6,FALSE)</f>
        <v>0.27</v>
      </c>
      <c r="AF68" s="201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106"/>
      <c r="BW68" s="106"/>
      <c r="BX68" s="106"/>
      <c r="BY68" s="99"/>
      <c r="BZ68" s="99"/>
      <c r="CA68" s="99"/>
    </row>
    <row r="69" spans="1:80" hidden="1" x14ac:dyDescent="0.4">
      <c r="A69" s="99"/>
      <c r="B69" s="99"/>
      <c r="C69" s="99"/>
      <c r="D69" s="99"/>
      <c r="E69" s="104" t="str">
        <f>D62</f>
        <v>アスファルト</v>
      </c>
      <c r="F69" s="199">
        <f>IF(D62="アスファルト",10,IF(D62="コンクリート",20,IF(D62="ｲﾝﾀｰﾛｯｷﾝｸﾞ",30,"E")))</f>
        <v>10</v>
      </c>
      <c r="G69" s="199"/>
      <c r="H69" s="99"/>
      <c r="I69" s="99"/>
      <c r="J69" s="104" t="s">
        <v>173</v>
      </c>
      <c r="K69" s="198">
        <f>VLOOKUP($F$71,$A$77:$X$89,8,FALSE)</f>
        <v>5</v>
      </c>
      <c r="L69" s="198"/>
      <c r="M69" s="99" t="s">
        <v>149</v>
      </c>
      <c r="N69" s="104" t="s">
        <v>152</v>
      </c>
      <c r="O69" s="199" t="str">
        <f>VLOOKUP($F$71,$A$91:$X$103,8,FALSE)</f>
        <v>再生密粒度ｱｽｺﾝ20F</v>
      </c>
      <c r="P69" s="199"/>
      <c r="Q69" s="199"/>
      <c r="R69" s="199"/>
      <c r="S69" s="99" t="s">
        <v>153</v>
      </c>
      <c r="T69" s="99"/>
      <c r="U69" s="99"/>
      <c r="V69" s="99"/>
      <c r="W69" s="99"/>
      <c r="X69" s="99"/>
      <c r="Y69" s="99"/>
      <c r="Z69" s="99"/>
      <c r="AA69" s="201" t="s">
        <v>123</v>
      </c>
      <c r="AB69" s="201"/>
      <c r="AC69" s="201"/>
      <c r="AD69" s="201"/>
      <c r="AE69" s="201" t="s">
        <v>186</v>
      </c>
      <c r="AF69" s="201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Y69" s="99"/>
      <c r="BZ69" s="99"/>
      <c r="CA69" s="99"/>
    </row>
    <row r="70" spans="1:80" ht="19.5" hidden="1" thickBot="1" x14ac:dyDescent="0.45">
      <c r="A70" s="99"/>
      <c r="B70" s="99"/>
      <c r="C70" s="99"/>
      <c r="D70" s="99"/>
      <c r="E70" s="104" t="str">
        <f>D63</f>
        <v>Ｌタイプ</v>
      </c>
      <c r="F70" s="199">
        <f>IF(D63="Ｅタイプ",1,IF(D63="Ｌタイプ",2,IF(D63="Ａタイプ",3,IF(D63="Ｂタイプ",4,IF(D63="標準",5,IF(D63="乗入れ",6,"E"))))))</f>
        <v>2</v>
      </c>
      <c r="G70" s="199"/>
      <c r="H70" s="99"/>
      <c r="I70" s="99"/>
      <c r="J70" s="104" t="s">
        <v>176</v>
      </c>
      <c r="K70" s="198" t="str">
        <f>VLOOKUP($F$71,$A$77:$X$89,10,FALSE)</f>
        <v>－</v>
      </c>
      <c r="L70" s="198"/>
      <c r="M70" s="99" t="s">
        <v>149</v>
      </c>
      <c r="N70" s="104" t="s">
        <v>152</v>
      </c>
      <c r="O70" s="199" t="str">
        <f>VLOOKUP($F$71,$A$91:$X$103,10,FALSE)</f>
        <v>－</v>
      </c>
      <c r="P70" s="199"/>
      <c r="Q70" s="199"/>
      <c r="R70" s="199"/>
      <c r="S70" s="99" t="s">
        <v>153</v>
      </c>
      <c r="T70" s="99"/>
      <c r="U70" s="99"/>
      <c r="V70" s="99"/>
      <c r="W70" s="99"/>
      <c r="X70" s="99"/>
      <c r="Y70" s="99"/>
      <c r="Z70" s="99">
        <v>1</v>
      </c>
      <c r="AA70" s="201" t="s">
        <v>187</v>
      </c>
      <c r="AB70" s="201"/>
      <c r="AC70" s="201"/>
      <c r="AD70" s="201"/>
      <c r="AE70" s="201">
        <v>0.17</v>
      </c>
      <c r="AF70" s="201"/>
      <c r="AG70" s="99"/>
      <c r="AH70" s="99">
        <f>IF($AA$68="φ１５０ＶＵ",Z70,0)</f>
        <v>0</v>
      </c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Y70" s="99"/>
      <c r="BZ70" s="99"/>
      <c r="CA70" s="99"/>
    </row>
    <row r="71" spans="1:80" ht="19.5" hidden="1" thickBot="1" x14ac:dyDescent="0.45">
      <c r="A71" s="99"/>
      <c r="B71" s="99"/>
      <c r="C71" s="99"/>
      <c r="D71" s="99"/>
      <c r="F71" s="223">
        <f>SUM(F68:G70)</f>
        <v>112</v>
      </c>
      <c r="G71" s="224"/>
      <c r="H71" s="99"/>
      <c r="I71" s="99"/>
      <c r="J71" s="104" t="s">
        <v>180</v>
      </c>
      <c r="K71" s="198" t="str">
        <f>VLOOKUP($F$71,$A$77:$X$89,12,FALSE)</f>
        <v>－</v>
      </c>
      <c r="L71" s="198"/>
      <c r="M71" s="99" t="s">
        <v>149</v>
      </c>
      <c r="N71" s="104" t="s">
        <v>152</v>
      </c>
      <c r="O71" s="199" t="str">
        <f>VLOOKUP($F$71,$A$91:$X$103,12,FALSE)</f>
        <v>－</v>
      </c>
      <c r="P71" s="199"/>
      <c r="Q71" s="199"/>
      <c r="R71" s="199"/>
      <c r="S71" s="99" t="s">
        <v>153</v>
      </c>
      <c r="T71" s="99"/>
      <c r="U71" s="99"/>
      <c r="V71" s="99"/>
      <c r="W71" s="99"/>
      <c r="X71" s="99"/>
      <c r="Y71" s="99"/>
      <c r="Z71" s="99">
        <v>2</v>
      </c>
      <c r="AA71" s="201" t="s">
        <v>188</v>
      </c>
      <c r="AB71" s="201"/>
      <c r="AC71" s="201"/>
      <c r="AD71" s="201"/>
      <c r="AE71" s="201">
        <v>0.22</v>
      </c>
      <c r="AF71" s="201"/>
      <c r="AG71" s="99"/>
      <c r="AH71" s="99">
        <f>IF($AA$68="φ２００ＶＵ",Z71,0)</f>
        <v>0</v>
      </c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Y71" s="99"/>
      <c r="BZ71" s="99"/>
      <c r="CA71" s="99"/>
    </row>
    <row r="72" spans="1:80" hidden="1" x14ac:dyDescent="0.4">
      <c r="A72" s="99"/>
      <c r="B72" s="99"/>
      <c r="C72" s="99"/>
      <c r="D72" s="99"/>
      <c r="E72" s="99" t="str">
        <f>IF(D62="アスファルト","As",IF(D62="コンクリート","Co","IR"))</f>
        <v>As</v>
      </c>
      <c r="H72" s="99"/>
      <c r="I72" s="99"/>
      <c r="J72" s="104" t="s">
        <v>175</v>
      </c>
      <c r="K72" s="198">
        <f>VLOOKUP($F$71,$A$77:$X$89,14,FALSE)</f>
        <v>17</v>
      </c>
      <c r="L72" s="198"/>
      <c r="M72" s="99" t="s">
        <v>149</v>
      </c>
      <c r="N72" s="104" t="s">
        <v>152</v>
      </c>
      <c r="O72" s="199" t="str">
        <f>VLOOKUP($F$71,$A$91:$X$103,14,FALSE)</f>
        <v>粒調砕石M-40</v>
      </c>
      <c r="P72" s="199"/>
      <c r="Q72" s="199"/>
      <c r="R72" s="199"/>
      <c r="S72" s="99" t="s">
        <v>153</v>
      </c>
      <c r="T72" s="99" t="str">
        <f>VLOOKUP($F$71,$A$91:$X$103,16,FALSE)</f>
        <v>M-40</v>
      </c>
      <c r="U72" s="99"/>
      <c r="V72" s="99"/>
      <c r="W72" s="99"/>
      <c r="X72" s="99"/>
      <c r="Y72" s="99"/>
      <c r="Z72" s="99">
        <v>3</v>
      </c>
      <c r="AA72" s="201" t="s">
        <v>189</v>
      </c>
      <c r="AB72" s="201"/>
      <c r="AC72" s="201"/>
      <c r="AD72" s="201"/>
      <c r="AE72" s="201">
        <v>0.27</v>
      </c>
      <c r="AF72" s="201"/>
      <c r="AG72" s="99"/>
      <c r="AH72" s="99">
        <f>IF($AA$68="φ２５０ＶＵ",Z72,0)</f>
        <v>3</v>
      </c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Y72" s="99"/>
      <c r="BZ72" s="99"/>
      <c r="CA72" s="99"/>
    </row>
    <row r="73" spans="1:80" hidden="1" x14ac:dyDescent="0.4">
      <c r="A73" s="99"/>
      <c r="B73" s="99"/>
      <c r="C73" s="99"/>
      <c r="D73" s="99"/>
      <c r="E73" s="99"/>
      <c r="F73" s="99"/>
      <c r="G73" s="99"/>
      <c r="H73" s="99"/>
      <c r="I73" s="99"/>
      <c r="J73" s="104" t="s">
        <v>179</v>
      </c>
      <c r="K73" s="198">
        <f>VLOOKUP($F$71,$A$77:$X$89,18,FALSE)</f>
        <v>25</v>
      </c>
      <c r="L73" s="198"/>
      <c r="M73" s="99" t="s">
        <v>149</v>
      </c>
      <c r="N73" s="104" t="s">
        <v>152</v>
      </c>
      <c r="O73" s="199" t="str">
        <f>VLOOKUP($F$71,$A$91:$X$103,18,FALSE)</f>
        <v>再生ｸﾗｯｼｬｰﾗﾝ40-0</v>
      </c>
      <c r="P73" s="199"/>
      <c r="Q73" s="199"/>
      <c r="R73" s="199"/>
      <c r="S73" s="99" t="s">
        <v>153</v>
      </c>
      <c r="T73" s="99" t="str">
        <f>VLOOKUP($F$71,$A$91:$X$103,20,FALSE)</f>
        <v>RC-40</v>
      </c>
      <c r="U73" s="99"/>
      <c r="V73" s="99"/>
      <c r="W73" s="99"/>
      <c r="X73" s="99"/>
      <c r="Y73" s="99"/>
      <c r="Z73" s="99">
        <v>4</v>
      </c>
      <c r="AA73" s="201" t="s">
        <v>190</v>
      </c>
      <c r="AB73" s="201"/>
      <c r="AC73" s="201"/>
      <c r="AD73" s="201"/>
      <c r="AE73" s="201">
        <v>0.32</v>
      </c>
      <c r="AF73" s="201"/>
      <c r="AG73" s="99"/>
      <c r="AH73" s="99">
        <f>IF($AA$68="φ３００ＶＵ",Z73,0)</f>
        <v>0</v>
      </c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Y73" s="99"/>
      <c r="BZ73" s="99"/>
      <c r="CA73" s="99"/>
    </row>
    <row r="74" spans="1:80" hidden="1" x14ac:dyDescent="0.4">
      <c r="A74" s="99"/>
      <c r="B74" s="99"/>
      <c r="C74" s="99"/>
      <c r="D74" s="99"/>
      <c r="E74" s="99"/>
      <c r="F74" s="99"/>
      <c r="G74" s="99"/>
      <c r="H74" s="99"/>
      <c r="I74" s="99"/>
      <c r="J74" s="104" t="s">
        <v>191</v>
      </c>
      <c r="K74" s="198">
        <f>VLOOKUP($F$71,$A$77:$X$89,20,FALSE)</f>
        <v>2</v>
      </c>
      <c r="L74" s="198"/>
      <c r="M74" s="99" t="s">
        <v>149</v>
      </c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>
        <v>5</v>
      </c>
      <c r="AA74" s="201" t="s">
        <v>192</v>
      </c>
      <c r="AB74" s="201"/>
      <c r="AC74" s="201"/>
      <c r="AD74" s="201"/>
      <c r="AE74" s="201">
        <v>0.17</v>
      </c>
      <c r="AF74" s="201"/>
      <c r="AG74" s="99"/>
      <c r="AH74" s="99">
        <f>IF($AA$68="φ１５０ＶＰ",Z74,0)</f>
        <v>0</v>
      </c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BY74" s="99"/>
      <c r="BZ74" s="99"/>
      <c r="CA74" s="99"/>
    </row>
    <row r="75" spans="1:80" hidden="1" x14ac:dyDescent="0.4">
      <c r="A75" s="156">
        <v>1</v>
      </c>
      <c r="B75" s="156">
        <v>2</v>
      </c>
      <c r="C75" s="156">
        <v>3</v>
      </c>
      <c r="D75" s="156">
        <v>4</v>
      </c>
      <c r="E75" s="156">
        <v>5</v>
      </c>
      <c r="F75" s="156">
        <v>6</v>
      </c>
      <c r="G75" s="156">
        <v>7</v>
      </c>
      <c r="H75" s="156">
        <v>8</v>
      </c>
      <c r="I75" s="156">
        <v>9</v>
      </c>
      <c r="J75" s="156">
        <v>10</v>
      </c>
      <c r="K75" s="156">
        <v>11</v>
      </c>
      <c r="L75" s="156">
        <v>12</v>
      </c>
      <c r="M75" s="156">
        <v>13</v>
      </c>
      <c r="N75" s="156">
        <v>14</v>
      </c>
      <c r="O75" s="156">
        <v>15</v>
      </c>
      <c r="P75" s="156">
        <v>16</v>
      </c>
      <c r="Q75" s="156">
        <v>17</v>
      </c>
      <c r="R75" s="156">
        <v>18</v>
      </c>
      <c r="S75" s="156">
        <v>19</v>
      </c>
      <c r="T75" s="156">
        <v>20</v>
      </c>
      <c r="U75" s="99"/>
      <c r="V75" s="99"/>
      <c r="W75" s="99"/>
      <c r="X75" s="99"/>
      <c r="Y75" s="99"/>
      <c r="Z75" s="99">
        <v>6</v>
      </c>
      <c r="AA75" s="201" t="s">
        <v>193</v>
      </c>
      <c r="AB75" s="201"/>
      <c r="AC75" s="201"/>
      <c r="AD75" s="201"/>
      <c r="AE75" s="201">
        <v>0.22</v>
      </c>
      <c r="AF75" s="201"/>
      <c r="AG75" s="99"/>
      <c r="AH75" s="99">
        <f>IF($AA$68="φ２００ＶＰ",Z75,0)</f>
        <v>0</v>
      </c>
      <c r="AI75" s="99"/>
      <c r="AJ75" s="99"/>
      <c r="AK75" s="99"/>
      <c r="AL75" s="99"/>
      <c r="AM75" s="99"/>
      <c r="AN75" s="99"/>
      <c r="AO75" s="99"/>
      <c r="AP75" s="99"/>
      <c r="BY75" s="99"/>
      <c r="BZ75" s="99"/>
      <c r="CA75" s="99"/>
    </row>
    <row r="76" spans="1:80" hidden="1" x14ac:dyDescent="0.4">
      <c r="A76" s="218"/>
      <c r="B76" s="219"/>
      <c r="C76" s="218"/>
      <c r="D76" s="220"/>
      <c r="E76" s="219"/>
      <c r="F76" s="221" t="s">
        <v>194</v>
      </c>
      <c r="G76" s="221"/>
      <c r="H76" s="221" t="s">
        <v>195</v>
      </c>
      <c r="I76" s="221"/>
      <c r="J76" s="221" t="s">
        <v>196</v>
      </c>
      <c r="K76" s="221"/>
      <c r="L76" s="221" t="s">
        <v>197</v>
      </c>
      <c r="M76" s="221"/>
      <c r="N76" s="221" t="s">
        <v>198</v>
      </c>
      <c r="O76" s="221"/>
      <c r="P76" s="221"/>
      <c r="Q76" s="221"/>
      <c r="R76" s="221" t="s">
        <v>199</v>
      </c>
      <c r="S76" s="221"/>
      <c r="T76" s="222" t="s">
        <v>200</v>
      </c>
      <c r="U76" s="222"/>
      <c r="V76" s="222"/>
      <c r="W76" s="222"/>
      <c r="X76" s="222"/>
      <c r="Y76" s="99"/>
      <c r="Z76" s="99">
        <v>7</v>
      </c>
      <c r="AA76" s="201" t="s">
        <v>201</v>
      </c>
      <c r="AB76" s="201"/>
      <c r="AC76" s="201"/>
      <c r="AD76" s="201"/>
      <c r="AE76" s="201">
        <v>0.27</v>
      </c>
      <c r="AF76" s="201"/>
      <c r="AG76" s="99"/>
      <c r="AH76" s="99">
        <f>IF($AA$68="φ２５０ＶＰ",Z76,0)</f>
        <v>0</v>
      </c>
      <c r="AI76" s="99"/>
      <c r="AJ76" s="99"/>
      <c r="AK76" s="99"/>
      <c r="AL76" s="99"/>
      <c r="AM76" s="99"/>
      <c r="AN76" s="99"/>
      <c r="AO76" s="99"/>
      <c r="AP76" s="99"/>
      <c r="BY76" s="99"/>
      <c r="BZ76" s="99"/>
      <c r="CA76" s="99"/>
    </row>
    <row r="77" spans="1:80" hidden="1" x14ac:dyDescent="0.4">
      <c r="A77" s="212">
        <v>111</v>
      </c>
      <c r="B77" s="212"/>
      <c r="C77" s="212" t="s">
        <v>202</v>
      </c>
      <c r="D77" s="212"/>
      <c r="E77" s="212"/>
      <c r="F77" s="212">
        <v>3</v>
      </c>
      <c r="G77" s="212"/>
      <c r="H77" s="212">
        <v>5</v>
      </c>
      <c r="I77" s="212"/>
      <c r="J77" s="212" t="s">
        <v>203</v>
      </c>
      <c r="K77" s="212"/>
      <c r="L77" s="212" t="s">
        <v>203</v>
      </c>
      <c r="M77" s="212"/>
      <c r="N77" s="212">
        <v>12</v>
      </c>
      <c r="O77" s="212"/>
      <c r="P77" s="212">
        <v>10</v>
      </c>
      <c r="Q77" s="212"/>
      <c r="R77" s="212">
        <v>20</v>
      </c>
      <c r="S77" s="212"/>
      <c r="T77" s="212">
        <f>N77-P77</f>
        <v>2</v>
      </c>
      <c r="U77" s="212"/>
      <c r="V77" s="212"/>
      <c r="W77" s="212"/>
      <c r="X77" s="212"/>
      <c r="Y77" s="99"/>
      <c r="Z77" s="99">
        <v>8</v>
      </c>
      <c r="AA77" s="201" t="s">
        <v>204</v>
      </c>
      <c r="AB77" s="201"/>
      <c r="AC77" s="201"/>
      <c r="AD77" s="201"/>
      <c r="AE77" s="201">
        <v>0.32</v>
      </c>
      <c r="AF77" s="201"/>
      <c r="AG77" s="99"/>
      <c r="AH77" s="99">
        <f>IF($AA$68="φ３００ＶＰ",Z77,0)</f>
        <v>0</v>
      </c>
      <c r="AI77" s="99"/>
      <c r="AJ77" s="99"/>
      <c r="AK77" s="99"/>
      <c r="AL77" s="99"/>
      <c r="AM77" s="99"/>
      <c r="AN77" s="99"/>
      <c r="AO77" s="99"/>
      <c r="AP77" s="99"/>
      <c r="BY77" s="99"/>
      <c r="BZ77" s="99"/>
      <c r="CA77" s="99"/>
    </row>
    <row r="78" spans="1:80" hidden="1" x14ac:dyDescent="0.4">
      <c r="A78" s="208">
        <v>112</v>
      </c>
      <c r="B78" s="208"/>
      <c r="C78" s="208" t="s">
        <v>205</v>
      </c>
      <c r="D78" s="208"/>
      <c r="E78" s="208"/>
      <c r="F78" s="208">
        <v>3</v>
      </c>
      <c r="G78" s="208"/>
      <c r="H78" s="208">
        <v>5</v>
      </c>
      <c r="I78" s="208"/>
      <c r="J78" s="208" t="s">
        <v>203</v>
      </c>
      <c r="K78" s="208"/>
      <c r="L78" s="208" t="s">
        <v>203</v>
      </c>
      <c r="M78" s="208"/>
      <c r="N78" s="208">
        <v>17</v>
      </c>
      <c r="O78" s="208"/>
      <c r="P78" s="208">
        <v>15</v>
      </c>
      <c r="Q78" s="208"/>
      <c r="R78" s="208">
        <v>25</v>
      </c>
      <c r="S78" s="208"/>
      <c r="T78" s="208">
        <f t="shared" ref="T78:T89" si="0">N78-P78</f>
        <v>2</v>
      </c>
      <c r="U78" s="208"/>
      <c r="V78" s="208"/>
      <c r="W78" s="208"/>
      <c r="X78" s="208"/>
      <c r="Y78" s="99"/>
      <c r="Z78" s="99">
        <v>9</v>
      </c>
      <c r="AA78" s="201" t="s">
        <v>206</v>
      </c>
      <c r="AB78" s="201"/>
      <c r="AC78" s="201"/>
      <c r="AD78" s="201"/>
      <c r="AE78" s="201">
        <v>0.26</v>
      </c>
      <c r="AF78" s="201"/>
      <c r="AG78" s="99"/>
      <c r="AH78" s="99">
        <f>IF($AA$68="φ２００ＨＰ",Z78,0)</f>
        <v>0</v>
      </c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BY78" s="99"/>
      <c r="BZ78" s="99"/>
      <c r="CA78" s="99"/>
    </row>
    <row r="79" spans="1:80" hidden="1" x14ac:dyDescent="0.4">
      <c r="A79" s="208">
        <v>113</v>
      </c>
      <c r="B79" s="208"/>
      <c r="C79" s="208" t="s">
        <v>207</v>
      </c>
      <c r="D79" s="208"/>
      <c r="E79" s="208"/>
      <c r="F79" s="208">
        <v>5</v>
      </c>
      <c r="G79" s="208"/>
      <c r="H79" s="208">
        <v>5</v>
      </c>
      <c r="I79" s="208"/>
      <c r="J79" s="208" t="s">
        <v>203</v>
      </c>
      <c r="K79" s="208"/>
      <c r="L79" s="208">
        <v>5</v>
      </c>
      <c r="M79" s="208"/>
      <c r="N79" s="208">
        <v>20</v>
      </c>
      <c r="O79" s="208"/>
      <c r="P79" s="208">
        <v>15</v>
      </c>
      <c r="Q79" s="208"/>
      <c r="R79" s="208">
        <v>25</v>
      </c>
      <c r="S79" s="208"/>
      <c r="T79" s="208">
        <f t="shared" si="0"/>
        <v>5</v>
      </c>
      <c r="U79" s="208"/>
      <c r="V79" s="208"/>
      <c r="W79" s="208"/>
      <c r="X79" s="208"/>
      <c r="Y79" s="99"/>
      <c r="Z79" s="99">
        <v>10</v>
      </c>
      <c r="AA79" s="201" t="s">
        <v>208</v>
      </c>
      <c r="AB79" s="201"/>
      <c r="AC79" s="201"/>
      <c r="AD79" s="201"/>
      <c r="AE79" s="201">
        <v>0.31</v>
      </c>
      <c r="AF79" s="201"/>
      <c r="AG79" s="99"/>
      <c r="AH79" s="99">
        <f>IF($AA$68="φ２５０ＨＰ",Z79,0)</f>
        <v>0</v>
      </c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BY79" s="99"/>
      <c r="BZ79" s="99"/>
      <c r="CA79" s="99"/>
    </row>
    <row r="80" spans="1:80" hidden="1" x14ac:dyDescent="0.4">
      <c r="A80" s="208">
        <v>114</v>
      </c>
      <c r="B80" s="208"/>
      <c r="C80" s="208" t="s">
        <v>209</v>
      </c>
      <c r="D80" s="208"/>
      <c r="E80" s="208"/>
      <c r="F80" s="208">
        <v>5</v>
      </c>
      <c r="G80" s="208"/>
      <c r="H80" s="208">
        <v>5</v>
      </c>
      <c r="I80" s="208"/>
      <c r="J80" s="208">
        <v>5</v>
      </c>
      <c r="K80" s="208"/>
      <c r="L80" s="208">
        <v>5</v>
      </c>
      <c r="M80" s="208"/>
      <c r="N80" s="208">
        <v>25</v>
      </c>
      <c r="O80" s="208"/>
      <c r="P80" s="208">
        <v>15</v>
      </c>
      <c r="Q80" s="208"/>
      <c r="R80" s="208">
        <v>35</v>
      </c>
      <c r="S80" s="208"/>
      <c r="T80" s="208">
        <f t="shared" si="0"/>
        <v>10</v>
      </c>
      <c r="U80" s="208"/>
      <c r="V80" s="208"/>
      <c r="W80" s="208"/>
      <c r="X80" s="208"/>
      <c r="Y80" s="99"/>
      <c r="Z80" s="99">
        <v>11</v>
      </c>
      <c r="AA80" s="201" t="s">
        <v>210</v>
      </c>
      <c r="AB80" s="201"/>
      <c r="AC80" s="201"/>
      <c r="AD80" s="201"/>
      <c r="AE80" s="201">
        <v>0.36</v>
      </c>
      <c r="AF80" s="201"/>
      <c r="AG80" s="99"/>
      <c r="AH80" s="99">
        <f>IF($AA$68="φ３００ＨＰ",Z80,0)</f>
        <v>0</v>
      </c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BY80" s="99"/>
      <c r="BZ80" s="99"/>
      <c r="CA80" s="99"/>
    </row>
    <row r="81" spans="1:79" hidden="1" x14ac:dyDescent="0.4">
      <c r="A81" s="208">
        <v>122</v>
      </c>
      <c r="B81" s="208"/>
      <c r="C81" s="208" t="s">
        <v>211</v>
      </c>
      <c r="D81" s="208"/>
      <c r="E81" s="208"/>
      <c r="F81" s="208">
        <v>3</v>
      </c>
      <c r="G81" s="208"/>
      <c r="H81" s="208">
        <v>15</v>
      </c>
      <c r="I81" s="208"/>
      <c r="J81" s="208" t="s">
        <v>203</v>
      </c>
      <c r="K81" s="208"/>
      <c r="L81" s="208" t="s">
        <v>203</v>
      </c>
      <c r="M81" s="208"/>
      <c r="N81" s="208">
        <v>32</v>
      </c>
      <c r="O81" s="208"/>
      <c r="P81" s="208">
        <v>20</v>
      </c>
      <c r="Q81" s="208"/>
      <c r="R81" s="208">
        <v>25</v>
      </c>
      <c r="S81" s="208"/>
      <c r="T81" s="208">
        <f t="shared" si="0"/>
        <v>12</v>
      </c>
      <c r="U81" s="208"/>
      <c r="V81" s="208"/>
      <c r="W81" s="208"/>
      <c r="X81" s="208"/>
      <c r="Y81" s="99"/>
      <c r="Z81" s="99">
        <v>12</v>
      </c>
      <c r="AA81" s="201" t="s">
        <v>212</v>
      </c>
      <c r="AB81" s="201"/>
      <c r="AC81" s="201"/>
      <c r="AD81" s="201"/>
      <c r="AE81" s="201">
        <v>0.42</v>
      </c>
      <c r="AF81" s="201"/>
      <c r="AG81" s="99"/>
      <c r="AH81" s="99">
        <f>IF($AA$68="φ３５０ＨＰ",Z81,0)</f>
        <v>0</v>
      </c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BY81" s="99"/>
      <c r="BZ81" s="99"/>
      <c r="CA81" s="99"/>
    </row>
    <row r="82" spans="1:79" hidden="1" x14ac:dyDescent="0.4">
      <c r="A82" s="208">
        <v>123</v>
      </c>
      <c r="B82" s="208"/>
      <c r="C82" s="208" t="s">
        <v>213</v>
      </c>
      <c r="D82" s="208"/>
      <c r="E82" s="208"/>
      <c r="F82" s="208">
        <v>5</v>
      </c>
      <c r="G82" s="208"/>
      <c r="H82" s="208">
        <v>20</v>
      </c>
      <c r="I82" s="208"/>
      <c r="J82" s="208" t="s">
        <v>203</v>
      </c>
      <c r="K82" s="208"/>
      <c r="L82" s="208" t="s">
        <v>203</v>
      </c>
      <c r="M82" s="208"/>
      <c r="N82" s="208">
        <v>35</v>
      </c>
      <c r="O82" s="208"/>
      <c r="P82" s="208">
        <v>20</v>
      </c>
      <c r="Q82" s="208"/>
      <c r="R82" s="208">
        <v>25</v>
      </c>
      <c r="S82" s="208"/>
      <c r="T82" s="208">
        <f t="shared" si="0"/>
        <v>15</v>
      </c>
      <c r="U82" s="208"/>
      <c r="V82" s="208"/>
      <c r="W82" s="208"/>
      <c r="X82" s="208"/>
      <c r="Y82" s="99"/>
      <c r="Z82" s="99">
        <v>13</v>
      </c>
      <c r="AA82" s="201" t="s">
        <v>214</v>
      </c>
      <c r="AB82" s="201"/>
      <c r="AC82" s="201"/>
      <c r="AD82" s="201"/>
      <c r="AE82" s="201">
        <v>0.47</v>
      </c>
      <c r="AF82" s="201"/>
      <c r="AG82" s="99"/>
      <c r="AH82" s="99">
        <f>IF($AA$68="φ４００ＨＰ",Z82,0)</f>
        <v>0</v>
      </c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BY82" s="99"/>
      <c r="BZ82" s="99"/>
      <c r="CA82" s="99"/>
    </row>
    <row r="83" spans="1:79" hidden="1" x14ac:dyDescent="0.4">
      <c r="A83" s="208">
        <v>124</v>
      </c>
      <c r="B83" s="208"/>
      <c r="C83" s="208" t="s">
        <v>215</v>
      </c>
      <c r="D83" s="208"/>
      <c r="E83" s="208"/>
      <c r="F83" s="208">
        <v>5</v>
      </c>
      <c r="G83" s="208"/>
      <c r="H83" s="208">
        <v>25</v>
      </c>
      <c r="I83" s="208"/>
      <c r="J83" s="208" t="s">
        <v>203</v>
      </c>
      <c r="K83" s="208"/>
      <c r="L83" s="208" t="s">
        <v>203</v>
      </c>
      <c r="M83" s="208"/>
      <c r="N83" s="208">
        <v>50</v>
      </c>
      <c r="O83" s="208"/>
      <c r="P83" s="208">
        <v>30</v>
      </c>
      <c r="Q83" s="208"/>
      <c r="R83" s="208">
        <v>30</v>
      </c>
      <c r="S83" s="208"/>
      <c r="T83" s="208">
        <f t="shared" si="0"/>
        <v>20</v>
      </c>
      <c r="U83" s="208"/>
      <c r="V83" s="208"/>
      <c r="W83" s="208"/>
      <c r="X83" s="208"/>
      <c r="Y83" s="99"/>
      <c r="Z83" s="99">
        <v>14</v>
      </c>
      <c r="AA83" s="201" t="s">
        <v>216</v>
      </c>
      <c r="AB83" s="201"/>
      <c r="AC83" s="201"/>
      <c r="AD83" s="201"/>
      <c r="AE83" s="201">
        <v>0.25</v>
      </c>
      <c r="AF83" s="201"/>
      <c r="AG83" s="99"/>
      <c r="AH83" s="99">
        <f>IF($AA$68="φ２００ＴＰ",Z83,0)</f>
        <v>0</v>
      </c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BY83" s="99"/>
      <c r="BZ83" s="99"/>
      <c r="CA83" s="99"/>
    </row>
    <row r="84" spans="1:79" hidden="1" x14ac:dyDescent="0.4">
      <c r="A84" s="208">
        <v>215</v>
      </c>
      <c r="B84" s="208"/>
      <c r="C84" s="208" t="s">
        <v>217</v>
      </c>
      <c r="D84" s="208"/>
      <c r="E84" s="208"/>
      <c r="F84" s="208">
        <v>3</v>
      </c>
      <c r="G84" s="208"/>
      <c r="H84" s="208">
        <v>3</v>
      </c>
      <c r="I84" s="208"/>
      <c r="J84" s="208" t="s">
        <v>203</v>
      </c>
      <c r="K84" s="208"/>
      <c r="L84" s="208" t="s">
        <v>203</v>
      </c>
      <c r="M84" s="208"/>
      <c r="N84" s="208">
        <v>10</v>
      </c>
      <c r="O84" s="208"/>
      <c r="P84" s="208">
        <v>10</v>
      </c>
      <c r="Q84" s="208"/>
      <c r="R84" s="208" t="s">
        <v>203</v>
      </c>
      <c r="S84" s="208"/>
      <c r="T84" s="208">
        <f t="shared" si="0"/>
        <v>0</v>
      </c>
      <c r="U84" s="208"/>
      <c r="V84" s="208"/>
      <c r="W84" s="208"/>
      <c r="X84" s="208"/>
      <c r="Y84" s="99"/>
      <c r="Z84" s="99">
        <v>15</v>
      </c>
      <c r="AA84" s="201" t="s">
        <v>218</v>
      </c>
      <c r="AB84" s="201"/>
      <c r="AC84" s="201"/>
      <c r="AD84" s="201"/>
      <c r="AE84" s="201">
        <v>0.3</v>
      </c>
      <c r="AF84" s="201"/>
      <c r="AG84" s="99"/>
      <c r="AH84" s="99">
        <f>IF($AA$68="φ２５０ＴＰ",Z84,0)</f>
        <v>0</v>
      </c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BY84" s="99"/>
      <c r="BZ84" s="99"/>
      <c r="CA84" s="99"/>
    </row>
    <row r="85" spans="1:79" hidden="1" x14ac:dyDescent="0.4">
      <c r="A85" s="208">
        <v>216</v>
      </c>
      <c r="B85" s="208"/>
      <c r="C85" s="208" t="s">
        <v>219</v>
      </c>
      <c r="D85" s="208"/>
      <c r="E85" s="208"/>
      <c r="F85" s="208">
        <v>3</v>
      </c>
      <c r="G85" s="208"/>
      <c r="H85" s="208">
        <v>4</v>
      </c>
      <c r="I85" s="208"/>
      <c r="J85" s="208" t="s">
        <v>203</v>
      </c>
      <c r="K85" s="208"/>
      <c r="L85" s="208" t="s">
        <v>203</v>
      </c>
      <c r="M85" s="208"/>
      <c r="N85" s="208">
        <v>16</v>
      </c>
      <c r="O85" s="208"/>
      <c r="P85" s="208">
        <v>15</v>
      </c>
      <c r="Q85" s="208"/>
      <c r="R85" s="208" t="s">
        <v>203</v>
      </c>
      <c r="S85" s="208"/>
      <c r="T85" s="208">
        <f t="shared" si="0"/>
        <v>1</v>
      </c>
      <c r="U85" s="208"/>
      <c r="V85" s="208"/>
      <c r="W85" s="208"/>
      <c r="X85" s="208"/>
      <c r="Y85" s="99"/>
      <c r="Z85" s="99">
        <v>16</v>
      </c>
      <c r="AA85" s="201" t="s">
        <v>220</v>
      </c>
      <c r="AB85" s="201"/>
      <c r="AC85" s="201"/>
      <c r="AD85" s="201"/>
      <c r="AE85" s="201">
        <v>0.36</v>
      </c>
      <c r="AF85" s="201"/>
      <c r="AG85" s="99"/>
      <c r="AH85" s="99">
        <f>IF($AA$68="φ３５０ＴＰ",Z85,0)</f>
        <v>0</v>
      </c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BY85" s="99"/>
      <c r="BZ85" s="99"/>
      <c r="CA85" s="99"/>
    </row>
    <row r="86" spans="1:79" hidden="1" x14ac:dyDescent="0.4">
      <c r="A86" s="208">
        <v>225</v>
      </c>
      <c r="B86" s="208"/>
      <c r="C86" s="208" t="s">
        <v>221</v>
      </c>
      <c r="D86" s="208"/>
      <c r="E86" s="208"/>
      <c r="F86" s="208">
        <v>3</v>
      </c>
      <c r="G86" s="208"/>
      <c r="H86" s="208">
        <v>7</v>
      </c>
      <c r="I86" s="208"/>
      <c r="J86" s="208" t="s">
        <v>203</v>
      </c>
      <c r="K86" s="208"/>
      <c r="L86" s="208" t="s">
        <v>203</v>
      </c>
      <c r="M86" s="208"/>
      <c r="N86" s="208">
        <v>14</v>
      </c>
      <c r="O86" s="208"/>
      <c r="P86" s="208">
        <v>10</v>
      </c>
      <c r="Q86" s="208"/>
      <c r="R86" s="208" t="s">
        <v>203</v>
      </c>
      <c r="S86" s="208"/>
      <c r="T86" s="208">
        <f t="shared" si="0"/>
        <v>4</v>
      </c>
      <c r="U86" s="208"/>
      <c r="V86" s="208"/>
      <c r="W86" s="208"/>
      <c r="X86" s="208"/>
      <c r="Y86" s="99"/>
      <c r="Z86" s="99">
        <v>17</v>
      </c>
      <c r="AA86" s="201" t="s">
        <v>222</v>
      </c>
      <c r="AB86" s="201"/>
      <c r="AC86" s="201"/>
      <c r="AD86" s="201"/>
      <c r="AE86" s="201">
        <v>0.21</v>
      </c>
      <c r="AF86" s="201"/>
      <c r="AG86" s="99"/>
      <c r="AH86" s="99">
        <f>IF($AA$68="Φ２００ＰＲＰ",Z86,0)</f>
        <v>0</v>
      </c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BY86" s="99"/>
      <c r="BZ86" s="99"/>
      <c r="CA86" s="99"/>
    </row>
    <row r="87" spans="1:79" ht="19.5" hidden="1" thickBot="1" x14ac:dyDescent="0.45">
      <c r="A87" s="208">
        <v>226</v>
      </c>
      <c r="B87" s="208"/>
      <c r="C87" s="208" t="s">
        <v>223</v>
      </c>
      <c r="D87" s="208"/>
      <c r="E87" s="208"/>
      <c r="F87" s="208">
        <v>3</v>
      </c>
      <c r="G87" s="208"/>
      <c r="H87" s="208">
        <v>10</v>
      </c>
      <c r="I87" s="208"/>
      <c r="J87" s="208" t="s">
        <v>203</v>
      </c>
      <c r="K87" s="208"/>
      <c r="L87" s="208" t="s">
        <v>203</v>
      </c>
      <c r="M87" s="208"/>
      <c r="N87" s="208">
        <v>22</v>
      </c>
      <c r="O87" s="208"/>
      <c r="P87" s="208">
        <v>15</v>
      </c>
      <c r="Q87" s="208"/>
      <c r="R87" s="208" t="s">
        <v>203</v>
      </c>
      <c r="S87" s="208"/>
      <c r="T87" s="208">
        <f t="shared" si="0"/>
        <v>7</v>
      </c>
      <c r="U87" s="208"/>
      <c r="V87" s="208"/>
      <c r="W87" s="208"/>
      <c r="X87" s="208"/>
      <c r="Y87" s="99"/>
      <c r="Z87" s="99">
        <v>18</v>
      </c>
      <c r="AA87" s="99" t="s">
        <v>224</v>
      </c>
      <c r="AB87" s="99"/>
      <c r="AC87" s="99"/>
      <c r="AD87" s="99"/>
      <c r="AE87" s="217">
        <v>0.11</v>
      </c>
      <c r="AF87" s="217"/>
      <c r="AG87" s="99"/>
      <c r="AH87" s="100">
        <f>IF($AA$68="Φ２００ﾒｶﾛｯｸ",Z87,0)</f>
        <v>0</v>
      </c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BY87" s="99"/>
      <c r="BZ87" s="99"/>
      <c r="CA87" s="99"/>
    </row>
    <row r="88" spans="1:79" ht="19.5" hidden="1" thickBot="1" x14ac:dyDescent="0.45">
      <c r="A88" s="208">
        <v>235</v>
      </c>
      <c r="B88" s="208"/>
      <c r="C88" s="208" t="s">
        <v>225</v>
      </c>
      <c r="D88" s="208"/>
      <c r="E88" s="208"/>
      <c r="F88" s="208">
        <v>3</v>
      </c>
      <c r="G88" s="208"/>
      <c r="H88" s="208">
        <v>6</v>
      </c>
      <c r="I88" s="208"/>
      <c r="J88" s="208">
        <v>3</v>
      </c>
      <c r="K88" s="208"/>
      <c r="L88" s="208" t="s">
        <v>203</v>
      </c>
      <c r="M88" s="208"/>
      <c r="N88" s="208">
        <v>16</v>
      </c>
      <c r="O88" s="208"/>
      <c r="P88" s="208">
        <v>10</v>
      </c>
      <c r="Q88" s="208"/>
      <c r="R88" s="208" t="s">
        <v>203</v>
      </c>
      <c r="S88" s="208"/>
      <c r="T88" s="208">
        <f t="shared" si="0"/>
        <v>6</v>
      </c>
      <c r="U88" s="208"/>
      <c r="V88" s="208"/>
      <c r="W88" s="208"/>
      <c r="X88" s="208"/>
      <c r="Y88" s="99"/>
      <c r="Z88" s="99"/>
      <c r="AA88" s="216" t="s">
        <v>226</v>
      </c>
      <c r="AB88" s="216"/>
      <c r="AC88" s="216"/>
      <c r="AD88" s="99"/>
      <c r="AE88" s="99"/>
      <c r="AF88" s="99"/>
      <c r="AG88" s="99"/>
      <c r="AH88" s="157">
        <f>SUM(AH70:AH87)</f>
        <v>3</v>
      </c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BY88" s="99"/>
      <c r="BZ88" s="99"/>
      <c r="CA88" s="99"/>
    </row>
    <row r="89" spans="1:79" hidden="1" x14ac:dyDescent="0.4">
      <c r="A89" s="204">
        <v>236</v>
      </c>
      <c r="B89" s="204"/>
      <c r="C89" s="204" t="s">
        <v>227</v>
      </c>
      <c r="D89" s="204"/>
      <c r="E89" s="204"/>
      <c r="F89" s="204">
        <v>3</v>
      </c>
      <c r="G89" s="204"/>
      <c r="H89" s="204">
        <v>8</v>
      </c>
      <c r="I89" s="204"/>
      <c r="J89" s="204">
        <v>3</v>
      </c>
      <c r="K89" s="204"/>
      <c r="L89" s="204" t="s">
        <v>203</v>
      </c>
      <c r="M89" s="204"/>
      <c r="N89" s="204">
        <v>23</v>
      </c>
      <c r="O89" s="204"/>
      <c r="P89" s="204">
        <v>15</v>
      </c>
      <c r="Q89" s="204"/>
      <c r="R89" s="204" t="s">
        <v>203</v>
      </c>
      <c r="S89" s="204"/>
      <c r="T89" s="204">
        <f t="shared" si="0"/>
        <v>8</v>
      </c>
      <c r="U89" s="204"/>
      <c r="V89" s="204"/>
      <c r="W89" s="204"/>
      <c r="X89" s="204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BY89" s="99"/>
      <c r="BZ89" s="99"/>
      <c r="CA89" s="99"/>
    </row>
    <row r="90" spans="1:79" hidden="1" x14ac:dyDescent="0.4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154" t="s">
        <v>228</v>
      </c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BY90" s="99"/>
      <c r="BZ90" s="99"/>
      <c r="CA90" s="99"/>
    </row>
    <row r="91" spans="1:79" hidden="1" x14ac:dyDescent="0.4">
      <c r="A91" s="212">
        <v>111</v>
      </c>
      <c r="B91" s="212"/>
      <c r="C91" s="212" t="s">
        <v>202</v>
      </c>
      <c r="D91" s="212"/>
      <c r="E91" s="212"/>
      <c r="F91" s="213" t="s">
        <v>229</v>
      </c>
      <c r="G91" s="213"/>
      <c r="H91" s="213" t="s">
        <v>230</v>
      </c>
      <c r="I91" s="213"/>
      <c r="J91" s="212" t="s">
        <v>203</v>
      </c>
      <c r="K91" s="212"/>
      <c r="L91" s="212" t="s">
        <v>203</v>
      </c>
      <c r="M91" s="212"/>
      <c r="N91" s="214" t="s">
        <v>231</v>
      </c>
      <c r="O91" s="215"/>
      <c r="P91" s="214" t="s">
        <v>232</v>
      </c>
      <c r="Q91" s="215"/>
      <c r="R91" s="213" t="s">
        <v>233</v>
      </c>
      <c r="S91" s="213"/>
      <c r="T91" s="213" t="s">
        <v>234</v>
      </c>
      <c r="U91" s="213"/>
      <c r="V91" s="213"/>
      <c r="W91" s="213"/>
      <c r="X91" s="213"/>
      <c r="Y91" s="99"/>
      <c r="Z91" s="99"/>
      <c r="AA91" s="99"/>
      <c r="AB91" s="99"/>
      <c r="AC91" s="104" t="s">
        <v>181</v>
      </c>
      <c r="AD91" s="198">
        <f>D64</f>
        <v>1</v>
      </c>
      <c r="AE91" s="198"/>
      <c r="AF91" s="198">
        <f>IF(D64=1,100,200)</f>
        <v>100</v>
      </c>
      <c r="AG91" s="198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BY91" s="99"/>
      <c r="BZ91" s="99"/>
      <c r="CA91" s="99"/>
    </row>
    <row r="92" spans="1:79" hidden="1" x14ac:dyDescent="0.4">
      <c r="A92" s="208">
        <v>112</v>
      </c>
      <c r="B92" s="208"/>
      <c r="C92" s="208" t="s">
        <v>205</v>
      </c>
      <c r="D92" s="208"/>
      <c r="E92" s="208"/>
      <c r="F92" s="209" t="s">
        <v>229</v>
      </c>
      <c r="G92" s="209"/>
      <c r="H92" s="209" t="s">
        <v>230</v>
      </c>
      <c r="I92" s="209"/>
      <c r="J92" s="208" t="s">
        <v>203</v>
      </c>
      <c r="K92" s="208"/>
      <c r="L92" s="208" t="s">
        <v>203</v>
      </c>
      <c r="M92" s="208"/>
      <c r="N92" s="206" t="s">
        <v>235</v>
      </c>
      <c r="O92" s="207"/>
      <c r="P92" s="206" t="s">
        <v>236</v>
      </c>
      <c r="Q92" s="207"/>
      <c r="R92" s="209" t="s">
        <v>233</v>
      </c>
      <c r="S92" s="209"/>
      <c r="T92" s="209" t="s">
        <v>234</v>
      </c>
      <c r="U92" s="209"/>
      <c r="V92" s="209"/>
      <c r="W92" s="209"/>
      <c r="X92" s="209"/>
      <c r="Y92" s="99"/>
      <c r="Z92" s="99"/>
      <c r="AA92" s="99"/>
      <c r="AB92" s="99"/>
      <c r="AC92" s="102" t="s">
        <v>237</v>
      </c>
      <c r="AE92" s="104" t="str">
        <f>IF(D64=1,"－－",IF(R12&lt;=U8/2-0.3,"１車線施工","２車線施工"))</f>
        <v>－－</v>
      </c>
      <c r="AF92" s="198">
        <f>IF(D64=1,0,IF(R12&lt;=U8/2-0.3,10,20))</f>
        <v>0</v>
      </c>
      <c r="AG92" s="198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BY92" s="99"/>
      <c r="BZ92" s="99"/>
      <c r="CA92" s="99"/>
    </row>
    <row r="93" spans="1:79" hidden="1" x14ac:dyDescent="0.4">
      <c r="A93" s="208">
        <v>113</v>
      </c>
      <c r="B93" s="208"/>
      <c r="C93" s="208" t="s">
        <v>207</v>
      </c>
      <c r="D93" s="208"/>
      <c r="E93" s="208"/>
      <c r="F93" s="209" t="s">
        <v>229</v>
      </c>
      <c r="G93" s="209"/>
      <c r="H93" s="209" t="s">
        <v>230</v>
      </c>
      <c r="I93" s="209"/>
      <c r="J93" s="208" t="s">
        <v>203</v>
      </c>
      <c r="K93" s="208"/>
      <c r="L93" s="209" t="s">
        <v>238</v>
      </c>
      <c r="M93" s="209"/>
      <c r="N93" s="206" t="s">
        <v>235</v>
      </c>
      <c r="O93" s="207"/>
      <c r="P93" s="206" t="s">
        <v>236</v>
      </c>
      <c r="Q93" s="207"/>
      <c r="R93" s="209" t="s">
        <v>233</v>
      </c>
      <c r="S93" s="209"/>
      <c r="T93" s="209" t="s">
        <v>234</v>
      </c>
      <c r="U93" s="209"/>
      <c r="V93" s="209"/>
      <c r="W93" s="209"/>
      <c r="X93" s="209"/>
      <c r="Y93" s="99"/>
      <c r="Z93" s="99"/>
      <c r="AA93" s="99"/>
      <c r="AB93" s="99"/>
      <c r="AC93" s="104" t="s">
        <v>239</v>
      </c>
      <c r="AD93" s="198">
        <f>AC12</f>
        <v>2.5</v>
      </c>
      <c r="AE93" s="198"/>
      <c r="AF93" s="198">
        <f>IF(AF92=20,0,IF(AC12&lt;1.5,1,2))</f>
        <v>2</v>
      </c>
      <c r="AG93" s="198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BY93" s="99"/>
      <c r="BZ93" s="99"/>
      <c r="CA93" s="99"/>
    </row>
    <row r="94" spans="1:79" ht="19.5" hidden="1" thickBot="1" x14ac:dyDescent="0.45">
      <c r="A94" s="208">
        <v>114</v>
      </c>
      <c r="B94" s="208"/>
      <c r="C94" s="208" t="s">
        <v>209</v>
      </c>
      <c r="D94" s="208"/>
      <c r="E94" s="208"/>
      <c r="F94" s="209" t="s">
        <v>229</v>
      </c>
      <c r="G94" s="209"/>
      <c r="H94" s="209" t="s">
        <v>230</v>
      </c>
      <c r="I94" s="209"/>
      <c r="J94" s="209" t="s">
        <v>240</v>
      </c>
      <c r="K94" s="209"/>
      <c r="L94" s="209" t="s">
        <v>238</v>
      </c>
      <c r="M94" s="209"/>
      <c r="N94" s="206" t="s">
        <v>235</v>
      </c>
      <c r="O94" s="207"/>
      <c r="P94" s="206" t="s">
        <v>236</v>
      </c>
      <c r="Q94" s="207"/>
      <c r="R94" s="209" t="s">
        <v>233</v>
      </c>
      <c r="S94" s="209"/>
      <c r="T94" s="209" t="s">
        <v>234</v>
      </c>
      <c r="U94" s="209"/>
      <c r="V94" s="209"/>
      <c r="W94" s="209"/>
      <c r="X94" s="209"/>
      <c r="Y94" s="99"/>
      <c r="Z94" s="99"/>
      <c r="AA94" s="99"/>
      <c r="AB94" s="99"/>
      <c r="AC94" s="104" t="s">
        <v>241</v>
      </c>
      <c r="AE94" s="104" t="str">
        <f>IF(D64=1,"－－",AA88)</f>
        <v>－－</v>
      </c>
      <c r="AF94" s="198" t="str">
        <f>IF(D64=1,"－－",IF(AA88="方勾配",1,2))</f>
        <v>－－</v>
      </c>
      <c r="AG94" s="198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BY94" s="99"/>
      <c r="BZ94" s="99"/>
      <c r="CA94" s="99"/>
    </row>
    <row r="95" spans="1:79" ht="19.5" hidden="1" thickBot="1" x14ac:dyDescent="0.45">
      <c r="A95" s="208">
        <v>122</v>
      </c>
      <c r="B95" s="208"/>
      <c r="C95" s="208" t="s">
        <v>211</v>
      </c>
      <c r="D95" s="208"/>
      <c r="E95" s="208"/>
      <c r="F95" s="209" t="s">
        <v>229</v>
      </c>
      <c r="G95" s="209"/>
      <c r="H95" s="209" t="s">
        <v>242</v>
      </c>
      <c r="I95" s="209"/>
      <c r="J95" s="208" t="s">
        <v>203</v>
      </c>
      <c r="K95" s="208"/>
      <c r="L95" s="208" t="s">
        <v>203</v>
      </c>
      <c r="M95" s="208"/>
      <c r="N95" s="206" t="s">
        <v>235</v>
      </c>
      <c r="O95" s="207"/>
      <c r="P95" s="206" t="s">
        <v>236</v>
      </c>
      <c r="Q95" s="207"/>
      <c r="R95" s="209" t="s">
        <v>233</v>
      </c>
      <c r="S95" s="209"/>
      <c r="T95" s="209" t="s">
        <v>234</v>
      </c>
      <c r="U95" s="209"/>
      <c r="V95" s="209"/>
      <c r="W95" s="209"/>
      <c r="X95" s="209"/>
      <c r="Y95" s="99"/>
      <c r="Z95" s="99"/>
      <c r="AA95" s="99"/>
      <c r="AB95" s="99"/>
      <c r="AC95" s="99"/>
      <c r="AD95" s="99"/>
      <c r="AE95" s="99"/>
      <c r="AF95" s="210">
        <f>SUM(AF91:AG94)</f>
        <v>102</v>
      </c>
      <c r="AG95" s="211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BY95" s="99"/>
      <c r="BZ95" s="99"/>
      <c r="CA95" s="99"/>
    </row>
    <row r="96" spans="1:79" hidden="1" x14ac:dyDescent="0.4">
      <c r="A96" s="208">
        <v>123</v>
      </c>
      <c r="B96" s="208"/>
      <c r="C96" s="208" t="s">
        <v>213</v>
      </c>
      <c r="D96" s="208"/>
      <c r="E96" s="208"/>
      <c r="F96" s="209" t="s">
        <v>229</v>
      </c>
      <c r="G96" s="209"/>
      <c r="H96" s="209" t="s">
        <v>242</v>
      </c>
      <c r="I96" s="209"/>
      <c r="J96" s="208" t="s">
        <v>203</v>
      </c>
      <c r="K96" s="208"/>
      <c r="L96" s="208" t="s">
        <v>203</v>
      </c>
      <c r="M96" s="208"/>
      <c r="N96" s="206" t="s">
        <v>235</v>
      </c>
      <c r="O96" s="207"/>
      <c r="P96" s="206" t="s">
        <v>236</v>
      </c>
      <c r="Q96" s="207"/>
      <c r="R96" s="209" t="s">
        <v>233</v>
      </c>
      <c r="S96" s="209"/>
      <c r="T96" s="209" t="s">
        <v>234</v>
      </c>
      <c r="U96" s="209"/>
      <c r="V96" s="209"/>
      <c r="W96" s="209"/>
      <c r="X96" s="209"/>
      <c r="Y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BY96" s="99"/>
      <c r="BZ96" s="99"/>
      <c r="CA96" s="99"/>
    </row>
    <row r="97" spans="1:85" hidden="1" x14ac:dyDescent="0.4">
      <c r="A97" s="208">
        <v>124</v>
      </c>
      <c r="B97" s="208"/>
      <c r="C97" s="208" t="s">
        <v>215</v>
      </c>
      <c r="D97" s="208"/>
      <c r="E97" s="208"/>
      <c r="F97" s="209" t="s">
        <v>229</v>
      </c>
      <c r="G97" s="209"/>
      <c r="H97" s="209" t="s">
        <v>242</v>
      </c>
      <c r="I97" s="209"/>
      <c r="J97" s="208" t="s">
        <v>203</v>
      </c>
      <c r="K97" s="208"/>
      <c r="L97" s="208" t="s">
        <v>203</v>
      </c>
      <c r="M97" s="208"/>
      <c r="N97" s="206" t="s">
        <v>235</v>
      </c>
      <c r="O97" s="207"/>
      <c r="P97" s="206" t="s">
        <v>236</v>
      </c>
      <c r="Q97" s="207"/>
      <c r="R97" s="209" t="s">
        <v>233</v>
      </c>
      <c r="S97" s="209"/>
      <c r="T97" s="209" t="s">
        <v>234</v>
      </c>
      <c r="U97" s="209"/>
      <c r="V97" s="209"/>
      <c r="W97" s="209"/>
      <c r="X97" s="209"/>
      <c r="Y97" s="99"/>
      <c r="AF97" s="198" t="s">
        <v>243</v>
      </c>
      <c r="AG97" s="198"/>
      <c r="AH97" s="198" t="s">
        <v>244</v>
      </c>
      <c r="AI97" s="198"/>
      <c r="AJ97" s="198" t="s">
        <v>245</v>
      </c>
      <c r="AK97" s="198"/>
      <c r="AL97" s="198"/>
      <c r="AM97" s="198"/>
      <c r="AN97" s="198" t="s">
        <v>246</v>
      </c>
      <c r="AO97" s="198"/>
      <c r="AP97" s="198" t="s">
        <v>247</v>
      </c>
      <c r="AQ97" s="198"/>
      <c r="AR97" s="198" t="s">
        <v>248</v>
      </c>
      <c r="AS97" s="198"/>
      <c r="AT97" s="198" t="s">
        <v>249</v>
      </c>
      <c r="AU97" s="198"/>
      <c r="AV97" s="99"/>
      <c r="AW97" s="99"/>
      <c r="AX97" s="99"/>
      <c r="AY97" s="99"/>
      <c r="CE97" s="99"/>
      <c r="CF97" s="99"/>
      <c r="CG97" s="99"/>
    </row>
    <row r="98" spans="1:85" hidden="1" x14ac:dyDescent="0.4">
      <c r="A98" s="208">
        <v>215</v>
      </c>
      <c r="B98" s="208"/>
      <c r="C98" s="208" t="s">
        <v>217</v>
      </c>
      <c r="D98" s="208"/>
      <c r="E98" s="208"/>
      <c r="F98" s="209" t="s">
        <v>250</v>
      </c>
      <c r="G98" s="209"/>
      <c r="H98" s="209" t="s">
        <v>251</v>
      </c>
      <c r="I98" s="209"/>
      <c r="J98" s="208" t="s">
        <v>203</v>
      </c>
      <c r="K98" s="208"/>
      <c r="L98" s="208" t="s">
        <v>203</v>
      </c>
      <c r="M98" s="208"/>
      <c r="N98" s="206" t="s">
        <v>252</v>
      </c>
      <c r="O98" s="207"/>
      <c r="P98" s="206" t="s">
        <v>234</v>
      </c>
      <c r="Q98" s="207"/>
      <c r="R98" s="208" t="s">
        <v>203</v>
      </c>
      <c r="S98" s="208"/>
      <c r="T98" s="209"/>
      <c r="U98" s="209"/>
      <c r="V98" s="209"/>
      <c r="W98" s="209"/>
      <c r="X98" s="209"/>
      <c r="Y98" s="99"/>
      <c r="AA98" s="198">
        <v>101</v>
      </c>
      <c r="AB98" s="198"/>
      <c r="AC98" s="201" t="s">
        <v>253</v>
      </c>
      <c r="AD98" s="201"/>
      <c r="AE98" s="201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CE98" s="99"/>
      <c r="CF98" s="99"/>
      <c r="CG98" s="99"/>
    </row>
    <row r="99" spans="1:85" hidden="1" x14ac:dyDescent="0.4">
      <c r="A99" s="208">
        <v>216</v>
      </c>
      <c r="B99" s="208"/>
      <c r="C99" s="208" t="s">
        <v>219</v>
      </c>
      <c r="D99" s="208"/>
      <c r="E99" s="208"/>
      <c r="F99" s="209" t="s">
        <v>250</v>
      </c>
      <c r="G99" s="209"/>
      <c r="H99" s="209" t="s">
        <v>251</v>
      </c>
      <c r="I99" s="209"/>
      <c r="J99" s="208" t="s">
        <v>203</v>
      </c>
      <c r="K99" s="208"/>
      <c r="L99" s="208" t="s">
        <v>203</v>
      </c>
      <c r="M99" s="208"/>
      <c r="N99" s="206" t="s">
        <v>252</v>
      </c>
      <c r="O99" s="207"/>
      <c r="P99" s="206" t="s">
        <v>234</v>
      </c>
      <c r="Q99" s="207"/>
      <c r="R99" s="208" t="s">
        <v>203</v>
      </c>
      <c r="S99" s="208"/>
      <c r="T99" s="209"/>
      <c r="U99" s="209"/>
      <c r="V99" s="209"/>
      <c r="W99" s="209"/>
      <c r="X99" s="209"/>
      <c r="Y99" s="99"/>
      <c r="AA99" s="198">
        <v>102</v>
      </c>
      <c r="AB99" s="198"/>
      <c r="AC99" s="99" t="s">
        <v>254</v>
      </c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CE99" s="99"/>
      <c r="CF99" s="99"/>
      <c r="CG99" s="99"/>
    </row>
    <row r="100" spans="1:85" hidden="1" x14ac:dyDescent="0.4">
      <c r="A100" s="208">
        <v>225</v>
      </c>
      <c r="B100" s="208"/>
      <c r="C100" s="208" t="s">
        <v>221</v>
      </c>
      <c r="D100" s="208"/>
      <c r="E100" s="208"/>
      <c r="F100" s="209" t="s">
        <v>250</v>
      </c>
      <c r="G100" s="209"/>
      <c r="H100" s="209" t="s">
        <v>242</v>
      </c>
      <c r="I100" s="209"/>
      <c r="J100" s="208" t="s">
        <v>203</v>
      </c>
      <c r="K100" s="208"/>
      <c r="L100" s="208" t="s">
        <v>203</v>
      </c>
      <c r="M100" s="208"/>
      <c r="N100" s="206" t="s">
        <v>252</v>
      </c>
      <c r="O100" s="207"/>
      <c r="P100" s="206" t="s">
        <v>234</v>
      </c>
      <c r="Q100" s="207"/>
      <c r="R100" s="208" t="s">
        <v>203</v>
      </c>
      <c r="S100" s="208"/>
      <c r="T100" s="209"/>
      <c r="U100" s="209"/>
      <c r="V100" s="209"/>
      <c r="W100" s="209"/>
      <c r="X100" s="209"/>
      <c r="Y100" s="99"/>
      <c r="AA100" s="198">
        <v>211</v>
      </c>
      <c r="AB100" s="198"/>
      <c r="AC100" s="99" t="s">
        <v>255</v>
      </c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U100" s="99"/>
      <c r="AV100" s="99"/>
      <c r="AW100" s="99"/>
      <c r="AX100" s="99"/>
      <c r="AY100" s="99"/>
      <c r="CE100" s="99"/>
      <c r="CF100" s="99"/>
      <c r="CG100" s="99"/>
    </row>
    <row r="101" spans="1:85" hidden="1" x14ac:dyDescent="0.4">
      <c r="A101" s="208">
        <v>226</v>
      </c>
      <c r="B101" s="208"/>
      <c r="C101" s="208" t="s">
        <v>223</v>
      </c>
      <c r="D101" s="208"/>
      <c r="E101" s="208"/>
      <c r="F101" s="209" t="s">
        <v>250</v>
      </c>
      <c r="G101" s="209"/>
      <c r="H101" s="209" t="s">
        <v>242</v>
      </c>
      <c r="I101" s="209"/>
      <c r="J101" s="208" t="s">
        <v>203</v>
      </c>
      <c r="K101" s="208"/>
      <c r="L101" s="208" t="s">
        <v>203</v>
      </c>
      <c r="M101" s="208"/>
      <c r="N101" s="206" t="s">
        <v>252</v>
      </c>
      <c r="O101" s="207"/>
      <c r="P101" s="206" t="s">
        <v>234</v>
      </c>
      <c r="Q101" s="207"/>
      <c r="R101" s="208" t="s">
        <v>203</v>
      </c>
      <c r="S101" s="208"/>
      <c r="T101" s="209"/>
      <c r="U101" s="209"/>
      <c r="V101" s="209"/>
      <c r="W101" s="209"/>
      <c r="X101" s="209"/>
      <c r="Y101" s="99"/>
      <c r="AA101" s="198">
        <v>212</v>
      </c>
      <c r="AB101" s="198"/>
      <c r="AC101" s="99" t="s">
        <v>256</v>
      </c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U101" s="99"/>
      <c r="AV101" s="99"/>
      <c r="AW101" s="99"/>
      <c r="AX101" s="99"/>
      <c r="AY101" s="99"/>
      <c r="CE101" s="99"/>
      <c r="CF101" s="99"/>
      <c r="CG101" s="99"/>
    </row>
    <row r="102" spans="1:85" hidden="1" x14ac:dyDescent="0.4">
      <c r="A102" s="208">
        <v>235</v>
      </c>
      <c r="B102" s="208"/>
      <c r="C102" s="208" t="s">
        <v>225</v>
      </c>
      <c r="D102" s="208"/>
      <c r="E102" s="208"/>
      <c r="F102" s="209" t="s">
        <v>250</v>
      </c>
      <c r="G102" s="209"/>
      <c r="H102" s="209" t="s">
        <v>257</v>
      </c>
      <c r="I102" s="209"/>
      <c r="J102" s="209" t="s">
        <v>258</v>
      </c>
      <c r="K102" s="209"/>
      <c r="L102" s="208" t="s">
        <v>203</v>
      </c>
      <c r="M102" s="208"/>
      <c r="N102" s="206" t="s">
        <v>252</v>
      </c>
      <c r="O102" s="207"/>
      <c r="P102" s="206" t="s">
        <v>234</v>
      </c>
      <c r="Q102" s="207"/>
      <c r="R102" s="208" t="s">
        <v>203</v>
      </c>
      <c r="S102" s="208"/>
      <c r="T102" s="209"/>
      <c r="U102" s="209"/>
      <c r="V102" s="209"/>
      <c r="W102" s="209"/>
      <c r="X102" s="209"/>
      <c r="AA102" s="198">
        <v>221</v>
      </c>
      <c r="AB102" s="198"/>
      <c r="AC102" s="99" t="s">
        <v>259</v>
      </c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U102" s="99"/>
      <c r="AV102" s="99"/>
      <c r="AW102" s="99"/>
      <c r="AX102" s="99"/>
      <c r="AY102" s="99"/>
      <c r="CE102" s="99"/>
      <c r="CF102" s="99"/>
      <c r="CG102" s="99"/>
    </row>
    <row r="103" spans="1:85" hidden="1" x14ac:dyDescent="0.4">
      <c r="A103" s="204">
        <v>236</v>
      </c>
      <c r="B103" s="204"/>
      <c r="C103" s="204" t="s">
        <v>227</v>
      </c>
      <c r="D103" s="204"/>
      <c r="E103" s="204"/>
      <c r="F103" s="205" t="s">
        <v>250</v>
      </c>
      <c r="G103" s="205"/>
      <c r="H103" s="205" t="s">
        <v>257</v>
      </c>
      <c r="I103" s="205"/>
      <c r="J103" s="205" t="s">
        <v>258</v>
      </c>
      <c r="K103" s="205"/>
      <c r="L103" s="204" t="s">
        <v>203</v>
      </c>
      <c r="M103" s="204"/>
      <c r="N103" s="202" t="s">
        <v>252</v>
      </c>
      <c r="O103" s="203"/>
      <c r="P103" s="202" t="s">
        <v>234</v>
      </c>
      <c r="Q103" s="203"/>
      <c r="R103" s="204" t="s">
        <v>203</v>
      </c>
      <c r="S103" s="204"/>
      <c r="T103" s="205"/>
      <c r="U103" s="205"/>
      <c r="V103" s="205"/>
      <c r="W103" s="205"/>
      <c r="X103" s="205"/>
      <c r="Y103" s="99"/>
      <c r="Z103" s="99"/>
      <c r="AA103" s="198">
        <v>222</v>
      </c>
      <c r="AB103" s="198"/>
      <c r="AC103" s="99" t="s">
        <v>260</v>
      </c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CE103" s="99"/>
      <c r="CF103" s="99"/>
      <c r="CG103" s="99"/>
    </row>
    <row r="104" spans="1:85" hidden="1" x14ac:dyDescent="0.4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V104" s="99"/>
      <c r="AW104" s="99"/>
      <c r="AX104" s="99"/>
      <c r="AY104" s="99"/>
      <c r="CE104" s="99"/>
      <c r="CF104" s="99"/>
      <c r="CG104" s="99"/>
    </row>
    <row r="105" spans="1:85" hidden="1" x14ac:dyDescent="0.4">
      <c r="A105" s="198" t="s">
        <v>121</v>
      </c>
      <c r="B105" s="198"/>
      <c r="C105" s="99" t="str">
        <f>VLOOKUP(1,A107:F112,3,FALSE)</f>
        <v>１．５ｍ以下</v>
      </c>
      <c r="D105" s="99"/>
      <c r="E105" s="99"/>
      <c r="F105" s="99"/>
      <c r="G105" s="198" t="s">
        <v>122</v>
      </c>
      <c r="H105" s="198"/>
      <c r="I105" s="99" t="str">
        <f>VLOOKUP(1,G107:L112,3,FALSE)</f>
        <v>２．５ｍ以下</v>
      </c>
      <c r="J105" s="99"/>
      <c r="K105" s="99"/>
      <c r="L105" s="99"/>
      <c r="M105" s="99"/>
      <c r="N105" s="99"/>
      <c r="O105" s="158"/>
      <c r="P105" s="158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V105" s="99"/>
      <c r="AW105" s="99"/>
      <c r="AX105" s="99"/>
      <c r="AY105" s="99"/>
      <c r="CE105" s="99"/>
      <c r="CF105" s="99"/>
      <c r="CG105" s="99"/>
    </row>
    <row r="106" spans="1:85" hidden="1" x14ac:dyDescent="0.4">
      <c r="A106" s="198" t="str">
        <f>BK39</f>
        <v>平均</v>
      </c>
      <c r="B106" s="198"/>
      <c r="C106" s="200">
        <f>IF(BK39="最大",R44,AVERAGE(R44,M44))</f>
        <v>1.4350000000000001</v>
      </c>
      <c r="D106" s="201"/>
      <c r="E106" s="201"/>
      <c r="F106" s="99" t="s">
        <v>261</v>
      </c>
      <c r="G106" s="105"/>
      <c r="H106" s="105"/>
      <c r="I106" s="99"/>
      <c r="J106" s="99"/>
      <c r="K106" s="99"/>
      <c r="L106" s="99"/>
      <c r="M106" s="99"/>
      <c r="N106" s="99"/>
      <c r="O106" s="158"/>
      <c r="P106" s="158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V106" s="99"/>
      <c r="AW106" s="99"/>
      <c r="AX106" s="99"/>
      <c r="AY106" s="99"/>
      <c r="CE106" s="99"/>
      <c r="CF106" s="99"/>
      <c r="CG106" s="99"/>
    </row>
    <row r="107" spans="1:85" hidden="1" x14ac:dyDescent="0.4">
      <c r="A107" s="198">
        <f>IF($C$106&lt;=1.5,1,0)</f>
        <v>1</v>
      </c>
      <c r="B107" s="198"/>
      <c r="C107" s="199" t="s">
        <v>262</v>
      </c>
      <c r="D107" s="199"/>
      <c r="E107" s="198">
        <f>IF($R$44&lt;=1.5,$N$37,0)</f>
        <v>1.5</v>
      </c>
      <c r="F107" s="198"/>
      <c r="G107" s="198">
        <f>IF($AD$45&lt;=1.5,1,0)</f>
        <v>0</v>
      </c>
      <c r="H107" s="198"/>
      <c r="I107" s="199" t="s">
        <v>262</v>
      </c>
      <c r="J107" s="199"/>
      <c r="K107" s="198">
        <f>IF($AD$45&lt;=1.5,$T$37,0)</f>
        <v>0</v>
      </c>
      <c r="L107" s="198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C107" s="99"/>
      <c r="AD107" s="99"/>
      <c r="AE107" s="99"/>
      <c r="AF107" s="99"/>
      <c r="AG107" s="99"/>
      <c r="AH107" s="99"/>
      <c r="AI107" s="99"/>
      <c r="AJ107" s="99"/>
      <c r="AK107" s="99"/>
      <c r="AN107" s="99"/>
      <c r="AO107" s="99"/>
      <c r="AP107" s="99"/>
      <c r="AQ107" s="99"/>
      <c r="AR107" s="99"/>
      <c r="AV107" s="99"/>
      <c r="AW107" s="99"/>
      <c r="AX107" s="99"/>
      <c r="AY107" s="99"/>
      <c r="CE107" s="99"/>
      <c r="CF107" s="99"/>
      <c r="CG107" s="99"/>
    </row>
    <row r="108" spans="1:85" hidden="1" x14ac:dyDescent="0.4">
      <c r="A108" s="198">
        <f>IF(AND($C$106&gt;1.5,$C$106&lt;=2),1,0)</f>
        <v>0</v>
      </c>
      <c r="B108" s="198"/>
      <c r="C108" s="199" t="s">
        <v>263</v>
      </c>
      <c r="D108" s="199"/>
      <c r="E108" s="198">
        <f>IF(AND($R$44&gt;1.5,$R$44&lt;=2),$N$37,0)</f>
        <v>0</v>
      </c>
      <c r="F108" s="198"/>
      <c r="G108" s="198">
        <f>IF(AND($AD$45&gt;1.5,$AD$45&lt;=2),1,0)</f>
        <v>0</v>
      </c>
      <c r="H108" s="198"/>
      <c r="I108" s="199" t="s">
        <v>263</v>
      </c>
      <c r="J108" s="199"/>
      <c r="K108" s="198">
        <f>IF(AND($AD$45&gt;1.5,$AD$45&lt;=2),$T$37,0)</f>
        <v>0</v>
      </c>
      <c r="L108" s="198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C108" s="99"/>
      <c r="AD108" s="99"/>
      <c r="AE108" s="99"/>
      <c r="AF108" s="99"/>
      <c r="AG108" s="99"/>
      <c r="AH108" s="99"/>
      <c r="AI108" s="99"/>
      <c r="AJ108" s="99"/>
      <c r="AK108" s="99"/>
      <c r="AN108" s="99"/>
      <c r="AO108" s="99"/>
      <c r="AP108" s="99"/>
      <c r="AQ108" s="99"/>
      <c r="AV108" s="99"/>
      <c r="AW108" s="99"/>
      <c r="AX108" s="99"/>
      <c r="AY108" s="99"/>
      <c r="CE108" s="99"/>
      <c r="CF108" s="99"/>
      <c r="CG108" s="99"/>
    </row>
    <row r="109" spans="1:85" hidden="1" x14ac:dyDescent="0.4">
      <c r="A109" s="198">
        <f>IF(AND($C$106&gt;2,$C$106&lt;=2.5),1,0)</f>
        <v>0</v>
      </c>
      <c r="B109" s="198"/>
      <c r="C109" s="199" t="s">
        <v>264</v>
      </c>
      <c r="D109" s="199"/>
      <c r="E109" s="198">
        <f>IF(AND($R$44&gt;2,$R$44&lt;=2.5),$N$37,0)</f>
        <v>0</v>
      </c>
      <c r="F109" s="198"/>
      <c r="G109" s="198">
        <f>IF(AND($AD$45&gt;2,$AD$45&lt;=2.5),1,0)</f>
        <v>1</v>
      </c>
      <c r="H109" s="198"/>
      <c r="I109" s="199" t="s">
        <v>264</v>
      </c>
      <c r="J109" s="199"/>
      <c r="K109" s="198">
        <f>IF(AND($AD$45&gt;2,$AD$45&lt;=2.5),$T$37,0)</f>
        <v>1</v>
      </c>
      <c r="L109" s="198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V109" s="99"/>
      <c r="AW109" s="99"/>
      <c r="AX109" s="99"/>
      <c r="AY109" s="99"/>
      <c r="CE109" s="99"/>
      <c r="CF109" s="99"/>
      <c r="CG109" s="99"/>
    </row>
    <row r="110" spans="1:85" hidden="1" x14ac:dyDescent="0.4">
      <c r="A110" s="198">
        <f>IF(AND($C$106&gt;2.5,$C$106&lt;=3),1,0)</f>
        <v>0</v>
      </c>
      <c r="B110" s="198"/>
      <c r="C110" s="199" t="s">
        <v>265</v>
      </c>
      <c r="D110" s="199"/>
      <c r="E110" s="198">
        <f>IF(AND($R$44&gt;2.5,$R$44&lt;=3),$N$37,0)</f>
        <v>0</v>
      </c>
      <c r="F110" s="198"/>
      <c r="G110" s="198">
        <f>IF(AND($AD$45&gt;2.5,$AD$45&lt;=3),1,0)</f>
        <v>0</v>
      </c>
      <c r="H110" s="198"/>
      <c r="I110" s="199" t="s">
        <v>265</v>
      </c>
      <c r="J110" s="199"/>
      <c r="K110" s="198">
        <f>IF(AND($AD$45&gt;2.5,$AD$45&lt;=3),$T$37,0)</f>
        <v>0</v>
      </c>
      <c r="L110" s="198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O110" s="99"/>
      <c r="AP110" s="99"/>
      <c r="AQ110" s="99"/>
      <c r="BY110" s="99"/>
      <c r="BZ110" s="99"/>
      <c r="CA110" s="99"/>
    </row>
    <row r="111" spans="1:85" hidden="1" x14ac:dyDescent="0.4">
      <c r="A111" s="198">
        <f>IF(AND($C$106&gt;3,$C$106&lt;=3.5),1,0)</f>
        <v>0</v>
      </c>
      <c r="B111" s="198"/>
      <c r="C111" s="199" t="s">
        <v>266</v>
      </c>
      <c r="D111" s="199"/>
      <c r="E111" s="198">
        <f>IF(AND($R$44&gt;3,$R$44&lt;=3.5),$N$37,0)</f>
        <v>0</v>
      </c>
      <c r="F111" s="198"/>
      <c r="G111" s="198">
        <f>IF(AND($AD$45&gt;3,$AD$45&lt;=3.5),1,0)</f>
        <v>0</v>
      </c>
      <c r="H111" s="198"/>
      <c r="I111" s="199" t="s">
        <v>266</v>
      </c>
      <c r="J111" s="199"/>
      <c r="K111" s="198">
        <f>IF(AND($AD$45&gt;3,$AD$45&lt;=3.5),$T$37,0)</f>
        <v>0</v>
      </c>
      <c r="L111" s="198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O111" s="99"/>
      <c r="AP111" s="99"/>
      <c r="AQ111" s="99"/>
      <c r="BY111" s="99"/>
      <c r="BZ111" s="99"/>
      <c r="CA111" s="99"/>
    </row>
    <row r="112" spans="1:85" hidden="1" x14ac:dyDescent="0.4">
      <c r="A112" s="198">
        <f>IF(AND($C$106&gt;3.5,$C$106&lt;=4),1,0)</f>
        <v>0</v>
      </c>
      <c r="B112" s="198"/>
      <c r="C112" s="199" t="s">
        <v>267</v>
      </c>
      <c r="D112" s="199"/>
      <c r="E112" s="198">
        <f>IF(AND($R$44&gt;3.5,$R$44&lt;=4),$N$37,0)</f>
        <v>0</v>
      </c>
      <c r="F112" s="198"/>
      <c r="G112" s="198">
        <f>IF(AND($AD$45&gt;3.5,$AD$45&lt;=4),1,0)</f>
        <v>0</v>
      </c>
      <c r="H112" s="198"/>
      <c r="I112" s="199" t="s">
        <v>267</v>
      </c>
      <c r="J112" s="199"/>
      <c r="K112" s="198">
        <f>IF(AND($AD$45&gt;3.5,$AD$45&lt;=4),$T$37,0)</f>
        <v>0</v>
      </c>
      <c r="L112" s="198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BY112" s="99"/>
      <c r="BZ112" s="99"/>
      <c r="CA112" s="99"/>
    </row>
    <row r="113" spans="1:79" hidden="1" x14ac:dyDescent="0.4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BY113" s="99"/>
      <c r="BZ113" s="99"/>
      <c r="CA113" s="99"/>
    </row>
    <row r="114" spans="1:79" x14ac:dyDescent="0.4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BY114" s="99"/>
      <c r="BZ114" s="99"/>
      <c r="CA114" s="99"/>
    </row>
    <row r="115" spans="1:79" x14ac:dyDescent="0.4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BY115" s="99"/>
      <c r="BZ115" s="99"/>
      <c r="CA115" s="99"/>
    </row>
    <row r="116" spans="1:79" x14ac:dyDescent="0.4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BY116" s="99"/>
      <c r="BZ116" s="99"/>
      <c r="CA116" s="99"/>
    </row>
    <row r="117" spans="1:79" x14ac:dyDescent="0.4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BY117" s="99"/>
      <c r="BZ117" s="99"/>
      <c r="CA117" s="99"/>
    </row>
    <row r="118" spans="1:79" x14ac:dyDescent="0.4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N118" s="99"/>
      <c r="AO118" s="99"/>
      <c r="AP118" s="99"/>
      <c r="AQ118" s="99"/>
      <c r="BY118" s="99"/>
      <c r="BZ118" s="99"/>
      <c r="CA118" s="99"/>
    </row>
    <row r="119" spans="1:79" x14ac:dyDescent="0.4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AN119" s="99"/>
      <c r="AO119" s="99"/>
      <c r="AP119" s="99"/>
      <c r="AQ119" s="99"/>
      <c r="BY119" s="99"/>
      <c r="BZ119" s="99"/>
      <c r="CA119" s="99"/>
    </row>
    <row r="120" spans="1:79" x14ac:dyDescent="0.4">
      <c r="AN120" s="99"/>
      <c r="AO120" s="99"/>
      <c r="AP120" s="99"/>
      <c r="AQ120" s="99"/>
      <c r="BY120" s="99"/>
      <c r="BZ120" s="99"/>
      <c r="CA120" s="99"/>
    </row>
    <row r="121" spans="1:79" x14ac:dyDescent="0.4">
      <c r="BY121" s="99"/>
      <c r="BZ121" s="99"/>
      <c r="CA121" s="99"/>
    </row>
    <row r="122" spans="1:79" x14ac:dyDescent="0.4">
      <c r="BY122" s="99"/>
      <c r="BZ122" s="99"/>
      <c r="CA122" s="99"/>
    </row>
    <row r="123" spans="1:79" x14ac:dyDescent="0.4">
      <c r="BY123" s="99"/>
      <c r="BZ123" s="99"/>
      <c r="CA123" s="99"/>
    </row>
    <row r="124" spans="1:79" x14ac:dyDescent="0.4">
      <c r="BY124" s="99"/>
      <c r="BZ124" s="99"/>
      <c r="CA124" s="99"/>
    </row>
    <row r="125" spans="1:79" x14ac:dyDescent="0.4">
      <c r="BY125" s="99"/>
      <c r="BZ125" s="99"/>
      <c r="CA125" s="99"/>
    </row>
    <row r="126" spans="1:79" x14ac:dyDescent="0.4">
      <c r="BY126" s="99"/>
      <c r="BZ126" s="99"/>
      <c r="CA126" s="99"/>
    </row>
    <row r="127" spans="1:79" x14ac:dyDescent="0.4">
      <c r="BY127" s="99"/>
      <c r="BZ127" s="99"/>
      <c r="CA127" s="99"/>
    </row>
    <row r="128" spans="1:79" x14ac:dyDescent="0.4">
      <c r="BY128" s="99"/>
      <c r="BZ128" s="99"/>
      <c r="CA128" s="99"/>
    </row>
    <row r="129" spans="77:79" x14ac:dyDescent="0.4">
      <c r="BY129" s="99"/>
      <c r="BZ129" s="99"/>
      <c r="CA129" s="99"/>
    </row>
  </sheetData>
  <sheetProtection algorithmName="SHA-512" hashValue="6Xlh42w8RVfmCJIBD15uf3sDDDnp7zdZyRN08CKpvHv1V0gF9vbNbJx9ywOWDOa2B6JFfNQTuxJoyFhERHtkbQ==" saltValue="v0aI+K/9EzpuIvciPr8HOg==" spinCount="100000" sheet="1" objects="1" scenarios="1"/>
  <mergeCells count="547">
    <mergeCell ref="G7:J7"/>
    <mergeCell ref="BZ7:CA7"/>
    <mergeCell ref="U8:Y8"/>
    <mergeCell ref="BZ8:CA8"/>
    <mergeCell ref="BZ9:CA9"/>
    <mergeCell ref="O10:Q10"/>
    <mergeCell ref="BZ10:CA10"/>
    <mergeCell ref="BZ1:CA1"/>
    <mergeCell ref="AD2:AH2"/>
    <mergeCell ref="BZ2:CA2"/>
    <mergeCell ref="AR3:BT4"/>
    <mergeCell ref="BZ3:CA3"/>
    <mergeCell ref="E4:J5"/>
    <mergeCell ref="AJ4:AK4"/>
    <mergeCell ref="BZ4:CA4"/>
    <mergeCell ref="BZ5:CA5"/>
    <mergeCell ref="C19:C21"/>
    <mergeCell ref="BZ19:CA19"/>
    <mergeCell ref="BZ20:CA20"/>
    <mergeCell ref="BZ21:CA21"/>
    <mergeCell ref="F13:H13"/>
    <mergeCell ref="BZ13:CA13"/>
    <mergeCell ref="F14:H14"/>
    <mergeCell ref="I14:K14"/>
    <mergeCell ref="O14:Q14"/>
    <mergeCell ref="W14:Z14"/>
    <mergeCell ref="BZ14:CA14"/>
    <mergeCell ref="J11:J13"/>
    <mergeCell ref="AG11:AH13"/>
    <mergeCell ref="BZ11:CA11"/>
    <mergeCell ref="R12:S12"/>
    <mergeCell ref="AC12:AD12"/>
    <mergeCell ref="BZ12:CA12"/>
    <mergeCell ref="G24:H24"/>
    <mergeCell ref="BZ24:CA24"/>
    <mergeCell ref="BZ25:CA25"/>
    <mergeCell ref="P26:R26"/>
    <mergeCell ref="BZ26:CA26"/>
    <mergeCell ref="BZ15:CA15"/>
    <mergeCell ref="BZ16:CA16"/>
    <mergeCell ref="BZ17:CA17"/>
    <mergeCell ref="AB18:AE18"/>
    <mergeCell ref="BZ18:CA18"/>
    <mergeCell ref="BZ27:CA27"/>
    <mergeCell ref="BZ28:CA28"/>
    <mergeCell ref="AZ29:BA29"/>
    <mergeCell ref="BD29:BH29"/>
    <mergeCell ref="BI29:BJ29"/>
    <mergeCell ref="BK29:BO29"/>
    <mergeCell ref="BP29:BQ29"/>
    <mergeCell ref="BZ29:CA29"/>
    <mergeCell ref="BZ22:CA22"/>
    <mergeCell ref="BZ23:CA23"/>
    <mergeCell ref="G34:J34"/>
    <mergeCell ref="BZ34:CA34"/>
    <mergeCell ref="R35:T35"/>
    <mergeCell ref="U35:W35"/>
    <mergeCell ref="AC35:AD35"/>
    <mergeCell ref="BZ35:CA35"/>
    <mergeCell ref="BZ30:CA30"/>
    <mergeCell ref="E31:J32"/>
    <mergeCell ref="BK31:BL31"/>
    <mergeCell ref="BZ31:CA31"/>
    <mergeCell ref="BZ32:CA32"/>
    <mergeCell ref="AZ33:BC33"/>
    <mergeCell ref="BZ33:CA33"/>
    <mergeCell ref="AH38:AI38"/>
    <mergeCell ref="BZ38:CA38"/>
    <mergeCell ref="T39:V39"/>
    <mergeCell ref="W39:X39"/>
    <mergeCell ref="BK39:BL39"/>
    <mergeCell ref="BZ39:CA39"/>
    <mergeCell ref="F36:H36"/>
    <mergeCell ref="BZ36:CA36"/>
    <mergeCell ref="F37:H37"/>
    <mergeCell ref="I37:K37"/>
    <mergeCell ref="N37:P37"/>
    <mergeCell ref="T37:Y37"/>
    <mergeCell ref="BZ37:CA37"/>
    <mergeCell ref="C43:C44"/>
    <mergeCell ref="D43:D44"/>
    <mergeCell ref="BZ43:CA43"/>
    <mergeCell ref="M44:M45"/>
    <mergeCell ref="R44:R45"/>
    <mergeCell ref="U44:X44"/>
    <mergeCell ref="AB44:AB45"/>
    <mergeCell ref="BZ44:CA44"/>
    <mergeCell ref="C45:C48"/>
    <mergeCell ref="D45:D48"/>
    <mergeCell ref="J40:K44"/>
    <mergeCell ref="AG40:AH44"/>
    <mergeCell ref="AY40:AY41"/>
    <mergeCell ref="AZ40:BJ41"/>
    <mergeCell ref="BZ40:CA41"/>
    <mergeCell ref="I42:I43"/>
    <mergeCell ref="AZ42:BA42"/>
    <mergeCell ref="BZ42:CA42"/>
    <mergeCell ref="AD45:AD47"/>
    <mergeCell ref="BZ45:CA45"/>
    <mergeCell ref="O46:P46"/>
    <mergeCell ref="AB46:AB50"/>
    <mergeCell ref="BZ46:CA46"/>
    <mergeCell ref="BM47:BT47"/>
    <mergeCell ref="BZ47:CA47"/>
    <mergeCell ref="T48:X48"/>
    <mergeCell ref="AD48:AD51"/>
    <mergeCell ref="BZ48:CA48"/>
    <mergeCell ref="D49:D50"/>
    <mergeCell ref="BK49:BS49"/>
    <mergeCell ref="BZ49:CA49"/>
    <mergeCell ref="G50:H50"/>
    <mergeCell ref="P50:P53"/>
    <mergeCell ref="BZ50:CA50"/>
    <mergeCell ref="Y51:Z52"/>
    <mergeCell ref="AB51:AB52"/>
    <mergeCell ref="BZ51:CA51"/>
    <mergeCell ref="AS52:AV52"/>
    <mergeCell ref="L55:M55"/>
    <mergeCell ref="O55:P55"/>
    <mergeCell ref="R55:S55"/>
    <mergeCell ref="AS55:AV55"/>
    <mergeCell ref="AW55:BK55"/>
    <mergeCell ref="BZ55:CA55"/>
    <mergeCell ref="AW52:BK52"/>
    <mergeCell ref="BZ52:CA52"/>
    <mergeCell ref="AS53:AV54"/>
    <mergeCell ref="AW53:BK54"/>
    <mergeCell ref="BZ53:CA53"/>
    <mergeCell ref="AB54:AB55"/>
    <mergeCell ref="BW54:BW55"/>
    <mergeCell ref="BZ54:CA54"/>
    <mergeCell ref="D61:G61"/>
    <mergeCell ref="L61:M61"/>
    <mergeCell ref="P61:X61"/>
    <mergeCell ref="AC61:AD61"/>
    <mergeCell ref="AG61:AL61"/>
    <mergeCell ref="BZ61:CA61"/>
    <mergeCell ref="BZ56:CA56"/>
    <mergeCell ref="BZ57:CA57"/>
    <mergeCell ref="BZ58:CA58"/>
    <mergeCell ref="BZ59:CA59"/>
    <mergeCell ref="AD60:AE60"/>
    <mergeCell ref="AH60:AK60"/>
    <mergeCell ref="BZ60:CA60"/>
    <mergeCell ref="D63:G63"/>
    <mergeCell ref="L63:M63"/>
    <mergeCell ref="P63:X63"/>
    <mergeCell ref="AC63:AD63"/>
    <mergeCell ref="AG63:AL63"/>
    <mergeCell ref="BZ63:CA63"/>
    <mergeCell ref="D62:G62"/>
    <mergeCell ref="L62:M62"/>
    <mergeCell ref="P62:X62"/>
    <mergeCell ref="AC62:AD62"/>
    <mergeCell ref="AG62:AL62"/>
    <mergeCell ref="BZ62:CA62"/>
    <mergeCell ref="D64:G64"/>
    <mergeCell ref="L64:M64"/>
    <mergeCell ref="BZ64:CA64"/>
    <mergeCell ref="BZ65:CA65"/>
    <mergeCell ref="F68:G68"/>
    <mergeCell ref="K68:L68"/>
    <mergeCell ref="O68:R68"/>
    <mergeCell ref="AA68:AD68"/>
    <mergeCell ref="AE68:AF68"/>
    <mergeCell ref="F69:G69"/>
    <mergeCell ref="K69:L69"/>
    <mergeCell ref="O69:R69"/>
    <mergeCell ref="AA69:AD69"/>
    <mergeCell ref="AE69:AF69"/>
    <mergeCell ref="F70:G70"/>
    <mergeCell ref="K70:L70"/>
    <mergeCell ref="O70:R70"/>
    <mergeCell ref="AA70:AD70"/>
    <mergeCell ref="AE70:AF70"/>
    <mergeCell ref="K73:L73"/>
    <mergeCell ref="O73:R73"/>
    <mergeCell ref="AA73:AD73"/>
    <mergeCell ref="AE73:AF73"/>
    <mergeCell ref="K74:L74"/>
    <mergeCell ref="AA74:AD74"/>
    <mergeCell ref="AE74:AF74"/>
    <mergeCell ref="F71:G71"/>
    <mergeCell ref="K71:L71"/>
    <mergeCell ref="O71:R71"/>
    <mergeCell ref="AA71:AD71"/>
    <mergeCell ref="AE71:AF71"/>
    <mergeCell ref="K72:L72"/>
    <mergeCell ref="O72:R72"/>
    <mergeCell ref="AA72:AD72"/>
    <mergeCell ref="AE72:AF72"/>
    <mergeCell ref="AA75:AD75"/>
    <mergeCell ref="AE75:AF75"/>
    <mergeCell ref="A76:B76"/>
    <mergeCell ref="C76:E76"/>
    <mergeCell ref="F76:G76"/>
    <mergeCell ref="H76:I76"/>
    <mergeCell ref="J76:K76"/>
    <mergeCell ref="L76:M76"/>
    <mergeCell ref="N76:Q76"/>
    <mergeCell ref="R76:S76"/>
    <mergeCell ref="T76:X76"/>
    <mergeCell ref="AA76:AD76"/>
    <mergeCell ref="AE76:AF76"/>
    <mergeCell ref="T77:X77"/>
    <mergeCell ref="AA77:AD77"/>
    <mergeCell ref="AE77:AF77"/>
    <mergeCell ref="A78:B78"/>
    <mergeCell ref="C78:E78"/>
    <mergeCell ref="F78:G78"/>
    <mergeCell ref="H78:I78"/>
    <mergeCell ref="J78:K78"/>
    <mergeCell ref="AE78:AF78"/>
    <mergeCell ref="L78:M78"/>
    <mergeCell ref="N78:O78"/>
    <mergeCell ref="P78:Q78"/>
    <mergeCell ref="R78:S78"/>
    <mergeCell ref="T78:X78"/>
    <mergeCell ref="AA78:AD78"/>
    <mergeCell ref="A77:B77"/>
    <mergeCell ref="C77:E77"/>
    <mergeCell ref="F77:G77"/>
    <mergeCell ref="H77:I77"/>
    <mergeCell ref="J77:K77"/>
    <mergeCell ref="L77:M77"/>
    <mergeCell ref="N77:O77"/>
    <mergeCell ref="P77:Q77"/>
    <mergeCell ref="R77:S77"/>
    <mergeCell ref="T79:X79"/>
    <mergeCell ref="AA79:AD79"/>
    <mergeCell ref="AE79:AF79"/>
    <mergeCell ref="A80:B80"/>
    <mergeCell ref="C80:E80"/>
    <mergeCell ref="F80:G80"/>
    <mergeCell ref="H80:I80"/>
    <mergeCell ref="J80:K80"/>
    <mergeCell ref="L80:M80"/>
    <mergeCell ref="N80:O80"/>
    <mergeCell ref="P80:Q80"/>
    <mergeCell ref="R80:S80"/>
    <mergeCell ref="T80:X80"/>
    <mergeCell ref="AA80:AD80"/>
    <mergeCell ref="AE80:AF80"/>
    <mergeCell ref="A79:B79"/>
    <mergeCell ref="C79:E79"/>
    <mergeCell ref="F79:G79"/>
    <mergeCell ref="H79:I79"/>
    <mergeCell ref="J79:K79"/>
    <mergeCell ref="L79:M79"/>
    <mergeCell ref="N79:O79"/>
    <mergeCell ref="P79:Q79"/>
    <mergeCell ref="R79:S79"/>
    <mergeCell ref="A81:B81"/>
    <mergeCell ref="C81:E81"/>
    <mergeCell ref="F81:G81"/>
    <mergeCell ref="H81:I81"/>
    <mergeCell ref="J81:K81"/>
    <mergeCell ref="AE81:AF81"/>
    <mergeCell ref="A82:B82"/>
    <mergeCell ref="C82:E82"/>
    <mergeCell ref="F82:G82"/>
    <mergeCell ref="H82:I82"/>
    <mergeCell ref="J82:K82"/>
    <mergeCell ref="L82:M82"/>
    <mergeCell ref="N82:O82"/>
    <mergeCell ref="P82:Q82"/>
    <mergeCell ref="R82:S82"/>
    <mergeCell ref="L81:M81"/>
    <mergeCell ref="N81:O81"/>
    <mergeCell ref="P81:Q81"/>
    <mergeCell ref="R81:S81"/>
    <mergeCell ref="T81:X81"/>
    <mergeCell ref="AA81:AD81"/>
    <mergeCell ref="T82:X82"/>
    <mergeCell ref="AA82:AD82"/>
    <mergeCell ref="AE82:AF82"/>
    <mergeCell ref="AA83:AD83"/>
    <mergeCell ref="AE83:AF83"/>
    <mergeCell ref="A84:B84"/>
    <mergeCell ref="C84:E84"/>
    <mergeCell ref="F84:G84"/>
    <mergeCell ref="H84:I84"/>
    <mergeCell ref="J84:K84"/>
    <mergeCell ref="AE84:AF84"/>
    <mergeCell ref="L84:M84"/>
    <mergeCell ref="N84:O84"/>
    <mergeCell ref="P84:Q84"/>
    <mergeCell ref="R84:S84"/>
    <mergeCell ref="T84:X84"/>
    <mergeCell ref="AA84:AD84"/>
    <mergeCell ref="A83:B83"/>
    <mergeCell ref="C83:E83"/>
    <mergeCell ref="F83:G83"/>
    <mergeCell ref="H83:I83"/>
    <mergeCell ref="J83:K83"/>
    <mergeCell ref="L83:M83"/>
    <mergeCell ref="N83:O83"/>
    <mergeCell ref="P83:Q83"/>
    <mergeCell ref="R83:S83"/>
    <mergeCell ref="C85:E85"/>
    <mergeCell ref="F85:G85"/>
    <mergeCell ref="H85:I85"/>
    <mergeCell ref="J85:K85"/>
    <mergeCell ref="L85:M85"/>
    <mergeCell ref="N85:O85"/>
    <mergeCell ref="P85:Q85"/>
    <mergeCell ref="R85:S85"/>
    <mergeCell ref="T83:X83"/>
    <mergeCell ref="C87:E87"/>
    <mergeCell ref="F87:G87"/>
    <mergeCell ref="H87:I87"/>
    <mergeCell ref="J87:K87"/>
    <mergeCell ref="T85:X85"/>
    <mergeCell ref="AA85:AD85"/>
    <mergeCell ref="AE85:AF85"/>
    <mergeCell ref="A86:B86"/>
    <mergeCell ref="C86:E86"/>
    <mergeCell ref="F86:G86"/>
    <mergeCell ref="H86:I86"/>
    <mergeCell ref="J86:K86"/>
    <mergeCell ref="L86:M86"/>
    <mergeCell ref="N86:O86"/>
    <mergeCell ref="L87:M87"/>
    <mergeCell ref="N87:O87"/>
    <mergeCell ref="P87:Q87"/>
    <mergeCell ref="R87:S87"/>
    <mergeCell ref="T87:X87"/>
    <mergeCell ref="AE87:AF87"/>
    <mergeCell ref="P86:Q86"/>
    <mergeCell ref="R86:S86"/>
    <mergeCell ref="T86:X86"/>
    <mergeCell ref="A85:B85"/>
    <mergeCell ref="AA86:AD86"/>
    <mergeCell ref="AE86:AF86"/>
    <mergeCell ref="N88:O88"/>
    <mergeCell ref="P88:Q88"/>
    <mergeCell ref="R88:S88"/>
    <mergeCell ref="T88:X88"/>
    <mergeCell ref="AA88:AC88"/>
    <mergeCell ref="A89:B89"/>
    <mergeCell ref="C89:E89"/>
    <mergeCell ref="F89:G89"/>
    <mergeCell ref="H89:I89"/>
    <mergeCell ref="J89:K89"/>
    <mergeCell ref="A88:B88"/>
    <mergeCell ref="C88:E88"/>
    <mergeCell ref="F88:G88"/>
    <mergeCell ref="H88:I88"/>
    <mergeCell ref="J88:K88"/>
    <mergeCell ref="L88:M88"/>
    <mergeCell ref="L89:M89"/>
    <mergeCell ref="N89:O89"/>
    <mergeCell ref="P89:Q89"/>
    <mergeCell ref="R89:S89"/>
    <mergeCell ref="T89:X89"/>
    <mergeCell ref="A87:B87"/>
    <mergeCell ref="A91:B91"/>
    <mergeCell ref="C91:E91"/>
    <mergeCell ref="F91:G91"/>
    <mergeCell ref="H91:I91"/>
    <mergeCell ref="J91:K91"/>
    <mergeCell ref="AF91:AG91"/>
    <mergeCell ref="A92:B92"/>
    <mergeCell ref="C92:E92"/>
    <mergeCell ref="F92:G92"/>
    <mergeCell ref="H92:I92"/>
    <mergeCell ref="J92:K92"/>
    <mergeCell ref="L92:M92"/>
    <mergeCell ref="N92:O92"/>
    <mergeCell ref="P92:Q92"/>
    <mergeCell ref="R92:S92"/>
    <mergeCell ref="L91:M91"/>
    <mergeCell ref="N91:O91"/>
    <mergeCell ref="P91:Q91"/>
    <mergeCell ref="R91:S91"/>
    <mergeCell ref="T91:X91"/>
    <mergeCell ref="AD91:AE91"/>
    <mergeCell ref="T92:X92"/>
    <mergeCell ref="AF92:AG92"/>
    <mergeCell ref="R93:S93"/>
    <mergeCell ref="T93:X93"/>
    <mergeCell ref="AD93:AE93"/>
    <mergeCell ref="AF93:AG93"/>
    <mergeCell ref="A94:B94"/>
    <mergeCell ref="C94:E94"/>
    <mergeCell ref="F94:G94"/>
    <mergeCell ref="H94:I94"/>
    <mergeCell ref="J94:K94"/>
    <mergeCell ref="L94:M94"/>
    <mergeCell ref="A93:B93"/>
    <mergeCell ref="C93:E93"/>
    <mergeCell ref="F93:G93"/>
    <mergeCell ref="H93:I93"/>
    <mergeCell ref="J93:K93"/>
    <mergeCell ref="L93:M93"/>
    <mergeCell ref="N93:O93"/>
    <mergeCell ref="P93:Q93"/>
    <mergeCell ref="N94:O94"/>
    <mergeCell ref="P94:Q94"/>
    <mergeCell ref="R94:S94"/>
    <mergeCell ref="T94:X94"/>
    <mergeCell ref="AF94:AG94"/>
    <mergeCell ref="N96:O96"/>
    <mergeCell ref="P96:Q96"/>
    <mergeCell ref="R96:S96"/>
    <mergeCell ref="T96:X96"/>
    <mergeCell ref="N95:O95"/>
    <mergeCell ref="P95:Q95"/>
    <mergeCell ref="A96:B96"/>
    <mergeCell ref="C96:E96"/>
    <mergeCell ref="F96:G96"/>
    <mergeCell ref="H96:I96"/>
    <mergeCell ref="J96:K96"/>
    <mergeCell ref="L96:M96"/>
    <mergeCell ref="R95:S95"/>
    <mergeCell ref="T95:X95"/>
    <mergeCell ref="AF95:AG95"/>
    <mergeCell ref="A95:B95"/>
    <mergeCell ref="C95:E95"/>
    <mergeCell ref="F95:G95"/>
    <mergeCell ref="H95:I95"/>
    <mergeCell ref="J95:K95"/>
    <mergeCell ref="L95:M95"/>
    <mergeCell ref="AT97:AU97"/>
    <mergeCell ref="A98:B98"/>
    <mergeCell ref="C98:E98"/>
    <mergeCell ref="F98:G98"/>
    <mergeCell ref="H98:I98"/>
    <mergeCell ref="J98:K98"/>
    <mergeCell ref="N97:O97"/>
    <mergeCell ref="P97:Q97"/>
    <mergeCell ref="R97:S97"/>
    <mergeCell ref="T97:X97"/>
    <mergeCell ref="AF97:AG97"/>
    <mergeCell ref="AH97:AI97"/>
    <mergeCell ref="AC98:AE98"/>
    <mergeCell ref="L98:M98"/>
    <mergeCell ref="N98:O98"/>
    <mergeCell ref="P98:Q98"/>
    <mergeCell ref="R98:S98"/>
    <mergeCell ref="T98:X98"/>
    <mergeCell ref="AA98:AB98"/>
    <mergeCell ref="A97:B97"/>
    <mergeCell ref="C97:E97"/>
    <mergeCell ref="F97:G97"/>
    <mergeCell ref="H97:I97"/>
    <mergeCell ref="J97:K97"/>
    <mergeCell ref="J99:K99"/>
    <mergeCell ref="L99:M99"/>
    <mergeCell ref="N99:O99"/>
    <mergeCell ref="P99:Q99"/>
    <mergeCell ref="R99:S99"/>
    <mergeCell ref="AJ97:AM97"/>
    <mergeCell ref="AN97:AO97"/>
    <mergeCell ref="AP97:AQ97"/>
    <mergeCell ref="AR97:AS97"/>
    <mergeCell ref="L97:M97"/>
    <mergeCell ref="A103:B103"/>
    <mergeCell ref="C103:E103"/>
    <mergeCell ref="F103:G103"/>
    <mergeCell ref="H103:I103"/>
    <mergeCell ref="J103:K103"/>
    <mergeCell ref="L103:M103"/>
    <mergeCell ref="N103:O103"/>
    <mergeCell ref="T99:X99"/>
    <mergeCell ref="AA99:AB99"/>
    <mergeCell ref="A100:B100"/>
    <mergeCell ref="C100:E100"/>
    <mergeCell ref="F100:G100"/>
    <mergeCell ref="H100:I100"/>
    <mergeCell ref="J100:K100"/>
    <mergeCell ref="L100:M100"/>
    <mergeCell ref="N100:O100"/>
    <mergeCell ref="P100:Q100"/>
    <mergeCell ref="R100:S100"/>
    <mergeCell ref="T100:X100"/>
    <mergeCell ref="AA100:AB100"/>
    <mergeCell ref="A99:B99"/>
    <mergeCell ref="C99:E99"/>
    <mergeCell ref="F99:G99"/>
    <mergeCell ref="H99:I99"/>
    <mergeCell ref="P101:Q101"/>
    <mergeCell ref="R101:S101"/>
    <mergeCell ref="T101:X101"/>
    <mergeCell ref="AA101:AB101"/>
    <mergeCell ref="N101:O101"/>
    <mergeCell ref="A102:B102"/>
    <mergeCell ref="C102:E102"/>
    <mergeCell ref="F102:G102"/>
    <mergeCell ref="H102:I102"/>
    <mergeCell ref="J102:K102"/>
    <mergeCell ref="L102:M102"/>
    <mergeCell ref="A101:B101"/>
    <mergeCell ref="C101:E101"/>
    <mergeCell ref="F101:G101"/>
    <mergeCell ref="H101:I101"/>
    <mergeCell ref="J101:K101"/>
    <mergeCell ref="L101:M101"/>
    <mergeCell ref="P103:Q103"/>
    <mergeCell ref="R103:S103"/>
    <mergeCell ref="T103:X103"/>
    <mergeCell ref="AA103:AB103"/>
    <mergeCell ref="N102:O102"/>
    <mergeCell ref="P102:Q102"/>
    <mergeCell ref="R102:S102"/>
    <mergeCell ref="T102:X102"/>
    <mergeCell ref="AA102:AB102"/>
    <mergeCell ref="I107:J107"/>
    <mergeCell ref="K107:L107"/>
    <mergeCell ref="A108:B108"/>
    <mergeCell ref="C108:D108"/>
    <mergeCell ref="E108:F108"/>
    <mergeCell ref="G108:H108"/>
    <mergeCell ref="I108:J108"/>
    <mergeCell ref="K108:L108"/>
    <mergeCell ref="A105:B105"/>
    <mergeCell ref="G105:H105"/>
    <mergeCell ref="A106:B106"/>
    <mergeCell ref="C106:E106"/>
    <mergeCell ref="A107:B107"/>
    <mergeCell ref="C107:D107"/>
    <mergeCell ref="E107:F107"/>
    <mergeCell ref="G107:H107"/>
    <mergeCell ref="A110:B110"/>
    <mergeCell ref="C110:D110"/>
    <mergeCell ref="E110:F110"/>
    <mergeCell ref="G110:H110"/>
    <mergeCell ref="I110:J110"/>
    <mergeCell ref="K110:L110"/>
    <mergeCell ref="A109:B109"/>
    <mergeCell ref="C109:D109"/>
    <mergeCell ref="E109:F109"/>
    <mergeCell ref="G109:H109"/>
    <mergeCell ref="I109:J109"/>
    <mergeCell ref="K109:L109"/>
    <mergeCell ref="A112:B112"/>
    <mergeCell ref="C112:D112"/>
    <mergeCell ref="E112:F112"/>
    <mergeCell ref="G112:H112"/>
    <mergeCell ref="I112:J112"/>
    <mergeCell ref="K112:L112"/>
    <mergeCell ref="A111:B111"/>
    <mergeCell ref="C111:D111"/>
    <mergeCell ref="E111:F111"/>
    <mergeCell ref="G111:H111"/>
    <mergeCell ref="I111:J111"/>
    <mergeCell ref="K111:L111"/>
  </mergeCells>
  <phoneticPr fontId="1"/>
  <conditionalFormatting sqref="AG60:AL60 AA61:AM63 AN64:AO66">
    <cfRule type="expression" dxfId="16" priority="1" stopIfTrue="1">
      <formula>$AD$60="無"</formula>
    </cfRule>
  </conditionalFormatting>
  <conditionalFormatting sqref="BM54:BO54">
    <cfRule type="expression" priority="16" stopIfTrue="1">
      <formula>$AH$60="パターン②"</formula>
    </cfRule>
  </conditionalFormatting>
  <conditionalFormatting sqref="BM54:BQ54 BP55:BQ55">
    <cfRule type="expression" dxfId="15" priority="15" stopIfTrue="1">
      <formula>$AD$60="無"</formula>
    </cfRule>
  </conditionalFormatting>
  <conditionalFormatting sqref="BL47:BT47 BU46:BW62 BR54:BT55 BL50:BL54 BM50:BT53 BP48:BT48 BL56:BT62 BT49 BV45:BW45">
    <cfRule type="expression" dxfId="14" priority="2" stopIfTrue="1">
      <formula>$AD$60="無"</formula>
    </cfRule>
  </conditionalFormatting>
  <conditionalFormatting sqref="BP54:BP55">
    <cfRule type="expression" dxfId="13" priority="17" stopIfTrue="1">
      <formula>$AH$60="パターン②"</formula>
    </cfRule>
  </conditionalFormatting>
  <conditionalFormatting sqref="BP58 BR58:BT58">
    <cfRule type="expression" dxfId="12" priority="7" stopIfTrue="1">
      <formula>$AH$60="パターン②"</formula>
    </cfRule>
  </conditionalFormatting>
  <conditionalFormatting sqref="BQ47:BT48 BU46:BU58 BL47:BP47 BV45:BW62 BQ52 BR54:BT55 BP56:BP57 BQ57:BT57 BP59:BP62 BR59:BR62 BT59:BT62 BQ60:BQ62 BS60:BS62 BU60:BU62 BL50:BL54 BM50:BP53 BP48 BL56:BO62 BR50:BT52 BT49">
    <cfRule type="expression" priority="3" stopIfTrue="1">
      <formula>$AH$60="パターン②"</formula>
    </cfRule>
  </conditionalFormatting>
  <conditionalFormatting sqref="BQ50">
    <cfRule type="expression" dxfId="11" priority="9" stopIfTrue="1">
      <formula>$AH$60="パターン②"</formula>
    </cfRule>
  </conditionalFormatting>
  <conditionalFormatting sqref="BQ51">
    <cfRule type="expression" dxfId="10" priority="8" stopIfTrue="1">
      <formula>$AH$60="パターン②"</formula>
    </cfRule>
  </conditionalFormatting>
  <conditionalFormatting sqref="BQ53 BQ56">
    <cfRule type="expression" dxfId="9" priority="12" stopIfTrue="1">
      <formula>$AH$60="パターン②"</formula>
    </cfRule>
  </conditionalFormatting>
  <conditionalFormatting sqref="BQ54">
    <cfRule type="expression" dxfId="8" priority="18" stopIfTrue="1">
      <formula>$AH$60="パターン②"</formula>
    </cfRule>
  </conditionalFormatting>
  <conditionalFormatting sqref="BQ55">
    <cfRule type="expression" dxfId="7" priority="19" stopIfTrue="1">
      <formula>$AH$60="パターン②"</formula>
    </cfRule>
  </conditionalFormatting>
  <conditionalFormatting sqref="BQ58">
    <cfRule type="expression" dxfId="6" priority="5" stopIfTrue="1">
      <formula>$AH$60="パターン②"</formula>
    </cfRule>
  </conditionalFormatting>
  <conditionalFormatting sqref="BQ59">
    <cfRule type="expression" dxfId="5" priority="6" stopIfTrue="1">
      <formula>$AH$60="パターン②"</formula>
    </cfRule>
  </conditionalFormatting>
  <conditionalFormatting sqref="BR53:BT53">
    <cfRule type="expression" dxfId="4" priority="10" stopIfTrue="1">
      <formula>$AH$60="パターン②"</formula>
    </cfRule>
  </conditionalFormatting>
  <conditionalFormatting sqref="BR56:BT56">
    <cfRule type="expression" dxfId="3" priority="11" stopIfTrue="1">
      <formula>$AH$60="パターン②"</formula>
    </cfRule>
  </conditionalFormatting>
  <conditionalFormatting sqref="BS59 BU59">
    <cfRule type="expression" dxfId="2" priority="4" stopIfTrue="1">
      <formula>$AH$60="パターン②"</formula>
    </cfRule>
  </conditionalFormatting>
  <conditionalFormatting sqref="BX45:BX62">
    <cfRule type="expression" dxfId="1" priority="13" stopIfTrue="1">
      <formula>$AD$60="無"</formula>
    </cfRule>
    <cfRule type="expression" priority="14" stopIfTrue="1">
      <formula>$AH$60="パターン②"</formula>
    </cfRule>
  </conditionalFormatting>
  <dataValidations count="8">
    <dataValidation type="list" allowBlank="1" showInputMessage="1" showErrorMessage="1" sqref="D61">
      <formula1>"車　道,歩　道"</formula1>
    </dataValidation>
    <dataValidation type="list" allowBlank="1" showInputMessage="1" showErrorMessage="1" sqref="D63">
      <formula1>"Ｅタイプ,Ｌタイプ,Ａタイプ,Ｂタイプ,標準,乗入れ"</formula1>
    </dataValidation>
    <dataValidation type="list" allowBlank="1" showInputMessage="1" showErrorMessage="1" sqref="H62 D62">
      <formula1>"アスファルト,コンクリート,ｲﾝﾀｰﾛｯｷﾝｸﾞ"</formula1>
    </dataValidation>
    <dataValidation type="list" allowBlank="1" showInputMessage="1" showErrorMessage="1" sqref="AD60:AE60 BK31:BL31">
      <formula1>"有,無"</formula1>
    </dataValidation>
    <dataValidation type="list" allowBlank="1" showInputMessage="1" showErrorMessage="1" sqref="AB18:AE18">
      <formula1>$AA$70:$AA$87</formula1>
    </dataValidation>
    <dataValidation type="list" allowBlank="1" showInputMessage="1" showErrorMessage="1" sqref="D64:G64">
      <formula1>"1,2"</formula1>
    </dataValidation>
    <dataValidation type="list" allowBlank="1" showInputMessage="1" showErrorMessage="1" sqref="AA88:AC88">
      <formula1>"片勾配,両勾配"</formula1>
    </dataValidation>
    <dataValidation type="list" allowBlank="1" showInputMessage="1" showErrorMessage="1" sqref="BK39">
      <formula1>"最大,平均"</formula1>
    </dataValidation>
  </dataValidations>
  <printOptions verticalCentered="1"/>
  <pageMargins left="0.78740157480314965" right="0.39370078740157483" top="0.39370078740157483" bottom="0.39370078740157483" header="0.51181102362204722" footer="0.51181102362204722"/>
  <pageSetup paperSize="8" scale="92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06"/>
  <sheetViews>
    <sheetView showGridLines="0" view="pageBreakPreview" zoomScale="85" zoomScaleSheetLayoutView="85" workbookViewId="0">
      <selection activeCell="AP6" sqref="AP6"/>
    </sheetView>
  </sheetViews>
  <sheetFormatPr defaultRowHeight="17.25" customHeight="1" x14ac:dyDescent="0.4"/>
  <cols>
    <col min="1" max="49" width="2.75" style="2" customWidth="1"/>
    <col min="50" max="214" width="2.125" style="2" customWidth="1"/>
    <col min="215" max="215" width="9" style="2" bestFit="1" customWidth="1"/>
    <col min="216" max="216" width="9" style="2" customWidth="1"/>
    <col min="217" max="16384" width="9" style="2"/>
  </cols>
  <sheetData>
    <row r="1" spans="1:73" ht="16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73" ht="16.5" customHeight="1" x14ac:dyDescent="0.4">
      <c r="A2" s="3"/>
      <c r="B2" s="3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73" ht="16.5" customHeight="1" x14ac:dyDescent="0.4">
      <c r="A3" s="3"/>
      <c r="B3" s="3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6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73" ht="16.5" customHeight="1" x14ac:dyDescent="0.4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4" t="s">
        <v>7</v>
      </c>
      <c r="Z4" s="299"/>
      <c r="AA4" s="299"/>
      <c r="AB4" s="5" t="s">
        <v>8</v>
      </c>
      <c r="AC4" s="299"/>
      <c r="AD4" s="299"/>
      <c r="AE4" s="5" t="s">
        <v>9</v>
      </c>
      <c r="AF4" s="300"/>
      <c r="AG4" s="300"/>
      <c r="AH4" s="5" t="s">
        <v>10</v>
      </c>
      <c r="AI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73" ht="16.5" customHeight="1" x14ac:dyDescent="0.4">
      <c r="A5" s="1"/>
      <c r="B5" s="1"/>
      <c r="C5" s="1"/>
      <c r="D5" s="1"/>
      <c r="E5" s="1"/>
      <c r="F5" s="1"/>
      <c r="G5" s="1"/>
      <c r="H5" s="1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73" ht="33" x14ac:dyDescent="0.4">
      <c r="A6" s="4"/>
      <c r="B6" s="4"/>
      <c r="C6" s="4"/>
      <c r="D6" s="301" t="s">
        <v>11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6"/>
      <c r="AH6" s="6"/>
      <c r="AI6" s="6"/>
      <c r="AJ6" s="6"/>
      <c r="AK6" s="6"/>
      <c r="AL6" s="6"/>
      <c r="AM6" s="6"/>
      <c r="AN6" s="7"/>
      <c r="AO6" s="4"/>
      <c r="AP6" s="4"/>
      <c r="AQ6" s="4"/>
      <c r="AR6" s="4"/>
      <c r="AS6" s="4"/>
      <c r="AT6" s="4"/>
      <c r="AU6" s="4"/>
      <c r="AV6" s="4"/>
      <c r="AW6" s="4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ht="16.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7"/>
      <c r="AN7" s="7"/>
      <c r="AO7" s="4"/>
      <c r="AP7" s="4"/>
      <c r="AQ7" s="4"/>
      <c r="AR7" s="4"/>
      <c r="AS7" s="4"/>
      <c r="AT7" s="4"/>
      <c r="AU7" s="4"/>
      <c r="AV7" s="4"/>
      <c r="AW7" s="4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s="11" customFormat="1" ht="16.5" customHeight="1" x14ac:dyDescent="0.4">
      <c r="A8" s="8"/>
      <c r="B8" s="306" t="s">
        <v>41</v>
      </c>
      <c r="C8" s="306"/>
      <c r="D8" s="306"/>
      <c r="E8" s="306"/>
      <c r="F8" s="306"/>
      <c r="G8" s="306"/>
      <c r="H8" s="306"/>
      <c r="I8" s="306"/>
      <c r="J8" s="306"/>
      <c r="K8" s="306"/>
      <c r="L8" s="10" t="s">
        <v>12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</row>
    <row r="9" spans="1:73" s="11" customFormat="1" ht="16.5" customHeight="1" x14ac:dyDescent="0.4">
      <c r="A9" s="8"/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10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</row>
    <row r="10" spans="1:73" s="11" customFormat="1" ht="16.5" customHeight="1" x14ac:dyDescent="0.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 t="s">
        <v>13</v>
      </c>
      <c r="R10" s="8"/>
      <c r="S10" s="8"/>
      <c r="T10" s="8" t="s">
        <v>14</v>
      </c>
      <c r="V10" s="8"/>
      <c r="Z10" s="8"/>
      <c r="AA10" s="8"/>
      <c r="AB10" s="8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</row>
    <row r="11" spans="1:73" s="11" customFormat="1" ht="16.5" customHeight="1" x14ac:dyDescent="0.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V11" s="8"/>
      <c r="Z11" s="8"/>
      <c r="AA11" s="8"/>
      <c r="AB11" s="8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</row>
    <row r="12" spans="1:73" s="11" customFormat="1" ht="16.5" customHeight="1" x14ac:dyDescent="0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 t="s">
        <v>15</v>
      </c>
      <c r="V12" s="8"/>
      <c r="Z12" s="8"/>
      <c r="AA12" s="8"/>
      <c r="AB12" s="8"/>
      <c r="AC12" s="12"/>
      <c r="AD12" s="12"/>
      <c r="AE12" s="12"/>
      <c r="AF12" s="12"/>
      <c r="AG12" s="8" t="s">
        <v>16</v>
      </c>
      <c r="AH12" s="12"/>
      <c r="AI12" s="12"/>
      <c r="AJ12" s="12"/>
      <c r="AK12" s="12"/>
      <c r="AL12" s="12"/>
      <c r="AM12" s="12"/>
      <c r="AN12" s="12"/>
      <c r="AO12" s="12"/>
      <c r="AP12" s="12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</row>
    <row r="13" spans="1:73" s="11" customFormat="1" ht="16.5" customHeight="1" x14ac:dyDescent="0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</row>
    <row r="14" spans="1:73" s="11" customFormat="1" ht="16.5" customHeight="1" x14ac:dyDescent="0.4">
      <c r="A14" s="8"/>
      <c r="B14" s="8"/>
      <c r="C14" s="8"/>
      <c r="D14" s="8"/>
      <c r="E14" s="8"/>
      <c r="F14" s="8"/>
      <c r="G14" s="8"/>
      <c r="H14" s="8"/>
      <c r="I14" s="8" t="s">
        <v>17</v>
      </c>
      <c r="J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</row>
    <row r="15" spans="1:73" s="11" customFormat="1" ht="16.5" customHeight="1" x14ac:dyDescent="0.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</row>
    <row r="16" spans="1:73" s="11" customFormat="1" ht="16.5" customHeight="1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 t="s">
        <v>18</v>
      </c>
      <c r="S16" s="8"/>
      <c r="T16" s="8"/>
      <c r="U16" s="8"/>
      <c r="V16" s="8"/>
      <c r="W16" s="8"/>
      <c r="X16" s="8"/>
      <c r="Y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</row>
    <row r="17" spans="1:48" s="8" customFormat="1" ht="16.5" customHeight="1" x14ac:dyDescent="0.4">
      <c r="B17" s="13"/>
      <c r="AS17" s="14"/>
      <c r="AT17" s="14"/>
    </row>
    <row r="18" spans="1:48" s="8" customFormat="1" ht="16.5" customHeight="1" x14ac:dyDescent="0.4">
      <c r="B18" s="13"/>
      <c r="G18" s="302" t="s">
        <v>19</v>
      </c>
      <c r="H18" s="302"/>
      <c r="I18" s="302"/>
      <c r="J18" s="302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E18" s="14"/>
      <c r="AF18" s="14"/>
      <c r="AG18" s="14"/>
    </row>
    <row r="19" spans="1:48" s="8" customFormat="1" ht="16.5" customHeight="1" x14ac:dyDescent="0.35">
      <c r="B19" s="13"/>
      <c r="AS19" s="15"/>
      <c r="AT19" s="15"/>
    </row>
    <row r="20" spans="1:48" s="8" customFormat="1" ht="16.5" customHeight="1" x14ac:dyDescent="0.35">
      <c r="B20" s="13"/>
      <c r="G20" s="302" t="s">
        <v>20</v>
      </c>
      <c r="H20" s="302"/>
      <c r="I20" s="302"/>
      <c r="J20" s="302"/>
      <c r="L20" s="23"/>
      <c r="M20" s="23"/>
      <c r="N20" s="23"/>
      <c r="O20" s="23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15"/>
      <c r="AG20" s="15"/>
    </row>
    <row r="21" spans="1:48" s="8" customFormat="1" ht="16.5" customHeight="1" x14ac:dyDescent="0.35">
      <c r="B21" s="13"/>
      <c r="AS21" s="15"/>
      <c r="AT21" s="15"/>
      <c r="AU21" s="15"/>
      <c r="AV21" s="15"/>
    </row>
    <row r="22" spans="1:48" s="8" customFormat="1" ht="16.5" customHeight="1" x14ac:dyDescent="0.35">
      <c r="B22" s="13"/>
      <c r="G22" s="302" t="s">
        <v>21</v>
      </c>
      <c r="H22" s="302"/>
      <c r="I22" s="302"/>
      <c r="J22" s="302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15"/>
      <c r="AE22" s="15"/>
      <c r="AF22" s="15"/>
      <c r="AG22" s="15"/>
      <c r="AS22" s="15"/>
      <c r="AT22" s="15"/>
      <c r="AU22" s="15"/>
      <c r="AV22" s="15"/>
    </row>
    <row r="23" spans="1:48" s="8" customFormat="1" ht="16.5" customHeight="1" x14ac:dyDescent="0.35"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V23" s="15"/>
    </row>
    <row r="24" spans="1:48" s="8" customFormat="1" ht="16.5" customHeight="1" x14ac:dyDescent="0.35">
      <c r="G24" s="302" t="s">
        <v>22</v>
      </c>
      <c r="H24" s="302"/>
      <c r="I24" s="302"/>
      <c r="J24" s="302"/>
      <c r="L24" s="4" t="s">
        <v>7</v>
      </c>
      <c r="M24" s="4"/>
      <c r="N24" s="305"/>
      <c r="O24" s="305"/>
      <c r="P24" s="5" t="s">
        <v>8</v>
      </c>
      <c r="Q24" s="16"/>
      <c r="R24" s="305"/>
      <c r="S24" s="305"/>
      <c r="T24" s="5" t="s">
        <v>23</v>
      </c>
      <c r="U24" s="17"/>
      <c r="V24" s="305"/>
      <c r="W24" s="305"/>
      <c r="X24" s="5" t="s">
        <v>10</v>
      </c>
      <c r="Y24" s="16"/>
      <c r="Z24" s="15"/>
      <c r="AA24" s="15"/>
      <c r="AB24" s="15"/>
      <c r="AC24" s="15"/>
      <c r="AD24" s="15"/>
      <c r="AE24" s="15"/>
      <c r="AF24" s="15"/>
      <c r="AG24" s="15"/>
    </row>
    <row r="25" spans="1:48" s="8" customFormat="1" ht="16.5" customHeight="1" x14ac:dyDescent="0.4"/>
    <row r="26" spans="1:48" s="8" customFormat="1" ht="26.25" customHeight="1" x14ac:dyDescent="0.4">
      <c r="B26" s="459"/>
      <c r="C26" s="459"/>
      <c r="D26" s="459"/>
      <c r="E26" s="459"/>
      <c r="F26" s="460"/>
      <c r="G26" s="461" t="s">
        <v>24</v>
      </c>
      <c r="H26" s="461"/>
      <c r="I26" s="461"/>
      <c r="J26" s="461"/>
      <c r="K26" s="462"/>
      <c r="L26" s="462"/>
      <c r="M26" s="463" t="s">
        <v>8</v>
      </c>
      <c r="N26" s="462"/>
      <c r="O26" s="462"/>
      <c r="P26" s="463" t="s">
        <v>23</v>
      </c>
      <c r="Q26" s="462"/>
      <c r="R26" s="462"/>
      <c r="S26" s="463" t="s">
        <v>10</v>
      </c>
      <c r="T26" s="464"/>
      <c r="U26" s="460"/>
      <c r="V26" s="465" t="s">
        <v>94</v>
      </c>
      <c r="W26" s="465"/>
      <c r="X26" s="465"/>
      <c r="Y26" s="466" t="s">
        <v>25</v>
      </c>
      <c r="Z26" s="466"/>
      <c r="AA26" s="466"/>
      <c r="AB26" s="466"/>
      <c r="AC26" s="466"/>
      <c r="AD26" s="466"/>
      <c r="AE26" s="466"/>
      <c r="AF26" s="466"/>
      <c r="AG26" s="467"/>
      <c r="AH26" s="459"/>
      <c r="AI26" s="459"/>
      <c r="AJ26" s="4"/>
    </row>
    <row r="27" spans="1:48" s="8" customFormat="1" ht="16.5" customHeight="1" x14ac:dyDescent="0.4">
      <c r="B27" s="459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68"/>
      <c r="AG27" s="468"/>
      <c r="AH27" s="459"/>
      <c r="AI27" s="459"/>
    </row>
    <row r="28" spans="1:48" s="18" customFormat="1" ht="30" customHeight="1" x14ac:dyDescent="0.65">
      <c r="B28" s="469"/>
      <c r="C28" s="469"/>
      <c r="D28" s="469"/>
      <c r="E28" s="469"/>
      <c r="F28" s="469"/>
      <c r="G28" s="469"/>
      <c r="H28" s="469"/>
      <c r="I28" s="469"/>
      <c r="J28" s="469"/>
      <c r="K28" s="470"/>
      <c r="L28" s="470"/>
      <c r="M28" s="470"/>
      <c r="N28" s="470"/>
      <c r="O28" s="470"/>
      <c r="P28" s="470"/>
      <c r="Q28" s="470"/>
      <c r="R28" s="471" t="s">
        <v>26</v>
      </c>
      <c r="S28" s="470"/>
      <c r="T28" s="470"/>
      <c r="U28" s="470"/>
      <c r="V28" s="470"/>
      <c r="W28" s="470"/>
      <c r="X28" s="470"/>
      <c r="Y28" s="470"/>
      <c r="Z28" s="469"/>
      <c r="AA28" s="470"/>
      <c r="AB28" s="470"/>
      <c r="AC28" s="470"/>
      <c r="AD28" s="470"/>
      <c r="AE28" s="470"/>
      <c r="AF28" s="470"/>
      <c r="AG28" s="470"/>
      <c r="AH28" s="470"/>
      <c r="AI28" s="470"/>
      <c r="AJ28" s="19"/>
      <c r="AK28" s="19"/>
      <c r="AL28" s="19"/>
      <c r="AM28" s="19"/>
    </row>
    <row r="29" spans="1:48" s="8" customFormat="1" ht="5.0999999999999996" customHeight="1" x14ac:dyDescent="0.4">
      <c r="B29" s="459"/>
      <c r="C29" s="459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</row>
    <row r="30" spans="1:48" s="8" customFormat="1" ht="16.5" customHeight="1" x14ac:dyDescent="0.4">
      <c r="B30" s="459"/>
      <c r="C30" s="459"/>
      <c r="D30" s="472" t="s">
        <v>27</v>
      </c>
      <c r="E30" s="473"/>
      <c r="F30" s="474"/>
      <c r="G30" s="472" t="s">
        <v>28</v>
      </c>
      <c r="H30" s="473"/>
      <c r="I30" s="474"/>
      <c r="J30" s="472" t="s">
        <v>29</v>
      </c>
      <c r="K30" s="473"/>
      <c r="L30" s="474"/>
      <c r="M30" s="472" t="s">
        <v>30</v>
      </c>
      <c r="N30" s="473"/>
      <c r="O30" s="473"/>
      <c r="P30" s="473"/>
      <c r="Q30" s="473"/>
      <c r="R30" s="474"/>
      <c r="S30" s="475" t="s">
        <v>31</v>
      </c>
      <c r="T30" s="476"/>
      <c r="U30" s="477"/>
      <c r="V30" s="472" t="s">
        <v>32</v>
      </c>
      <c r="W30" s="473"/>
      <c r="X30" s="474"/>
      <c r="Y30" s="459"/>
      <c r="Z30" s="459"/>
      <c r="AA30" s="459"/>
      <c r="AB30" s="478"/>
      <c r="AC30" s="478"/>
      <c r="AD30" s="459"/>
      <c r="AE30" s="459"/>
      <c r="AF30" s="459"/>
      <c r="AG30" s="459"/>
      <c r="AH30" s="459"/>
      <c r="AI30" s="459"/>
    </row>
    <row r="31" spans="1:48" s="11" customFormat="1" ht="23.25" customHeight="1" x14ac:dyDescent="0.4">
      <c r="A31" s="8"/>
      <c r="B31" s="479"/>
      <c r="C31" s="479"/>
      <c r="D31" s="480"/>
      <c r="E31" s="480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59"/>
      <c r="Z31" s="459"/>
      <c r="AA31" s="459"/>
      <c r="AB31" s="459"/>
      <c r="AC31" s="459"/>
      <c r="AD31" s="459"/>
      <c r="AE31" s="459"/>
      <c r="AF31" s="459"/>
      <c r="AG31" s="459"/>
      <c r="AH31" s="479"/>
      <c r="AI31" s="479"/>
    </row>
    <row r="32" spans="1:48" s="11" customFormat="1" ht="23.25" customHeight="1" x14ac:dyDescent="0.4">
      <c r="A32" s="8"/>
      <c r="B32" s="479"/>
      <c r="C32" s="479"/>
      <c r="D32" s="480"/>
      <c r="E32" s="480"/>
      <c r="F32" s="480"/>
      <c r="G32" s="480"/>
      <c r="H32" s="480"/>
      <c r="I32" s="480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59"/>
      <c r="Z32" s="459"/>
      <c r="AA32" s="459"/>
      <c r="AB32" s="459"/>
      <c r="AC32" s="459"/>
      <c r="AD32" s="459"/>
      <c r="AE32" s="459"/>
      <c r="AF32" s="459"/>
      <c r="AG32" s="459"/>
      <c r="AH32" s="479"/>
      <c r="AI32" s="479"/>
    </row>
    <row r="33" spans="1:70" s="11" customFormat="1" ht="14.25" customHeight="1" x14ac:dyDescent="0.4">
      <c r="A33" s="8"/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1"/>
      <c r="M33" s="481"/>
      <c r="N33" s="481"/>
      <c r="O33" s="481"/>
      <c r="P33" s="481"/>
      <c r="Q33" s="481"/>
      <c r="R33" s="481"/>
      <c r="S33" s="481"/>
      <c r="T33" s="481"/>
      <c r="U33" s="481"/>
      <c r="V33" s="481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79"/>
      <c r="AI33" s="479"/>
    </row>
    <row r="34" spans="1:70" s="11" customFormat="1" ht="14.25" customHeight="1" x14ac:dyDescent="0.4">
      <c r="A34" s="8"/>
      <c r="B34" s="459"/>
      <c r="C34" s="459"/>
      <c r="D34" s="459"/>
      <c r="E34" s="459"/>
      <c r="F34" s="459"/>
      <c r="G34" s="459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 s="459"/>
      <c r="S34" s="459"/>
      <c r="T34" s="478" t="s">
        <v>7</v>
      </c>
      <c r="U34" s="478"/>
      <c r="V34" s="482"/>
      <c r="W34" s="482"/>
      <c r="X34" s="481" t="s">
        <v>8</v>
      </c>
      <c r="Y34" s="483"/>
      <c r="Z34" s="482"/>
      <c r="AA34" s="482"/>
      <c r="AB34" s="481" t="s">
        <v>23</v>
      </c>
      <c r="AC34" s="484"/>
      <c r="AD34" s="482"/>
      <c r="AE34" s="482"/>
      <c r="AF34" s="481" t="s">
        <v>10</v>
      </c>
      <c r="AG34" s="479"/>
      <c r="AH34" s="479"/>
      <c r="AI34" s="479"/>
    </row>
    <row r="35" spans="1:70" s="11" customFormat="1" ht="14.25" customHeight="1" x14ac:dyDescent="0.4">
      <c r="A35" s="8"/>
      <c r="B35" s="459"/>
      <c r="C35" s="459"/>
      <c r="D35" s="459"/>
      <c r="E35" s="459"/>
      <c r="F35" s="459"/>
      <c r="G35" s="459"/>
      <c r="H35" s="459"/>
      <c r="I35" s="45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459"/>
      <c r="AA35" s="459"/>
      <c r="AB35" s="459"/>
      <c r="AC35" s="459"/>
      <c r="AD35" s="459"/>
      <c r="AE35" s="459"/>
      <c r="AF35" s="459"/>
      <c r="AG35" s="459"/>
      <c r="AH35" s="479"/>
      <c r="AI35" s="479"/>
    </row>
    <row r="36" spans="1:70" s="20" customFormat="1" ht="14.25" customHeight="1" x14ac:dyDescent="0.4">
      <c r="B36" s="485"/>
      <c r="C36" s="485"/>
      <c r="D36" s="485"/>
      <c r="E36" s="485"/>
      <c r="F36" s="485"/>
      <c r="G36" s="485"/>
      <c r="H36" s="485"/>
      <c r="I36" s="485"/>
      <c r="J36" s="485"/>
      <c r="K36" s="479" t="s">
        <v>33</v>
      </c>
      <c r="L36" s="479"/>
      <c r="M36" s="479"/>
      <c r="N36" s="485"/>
      <c r="O36" s="479"/>
      <c r="P36" s="479"/>
      <c r="Q36" s="479"/>
      <c r="R36" s="479" t="s">
        <v>42</v>
      </c>
      <c r="S36" s="486"/>
      <c r="T36" s="485"/>
      <c r="U36" s="459"/>
      <c r="V36" s="479"/>
      <c r="W36" s="479"/>
      <c r="X36" s="479"/>
      <c r="Y36" s="479"/>
      <c r="Z36" s="459"/>
      <c r="AA36" s="459"/>
      <c r="AB36" s="459"/>
      <c r="AC36" s="485"/>
      <c r="AD36" s="481"/>
      <c r="AE36" s="459"/>
      <c r="AF36" s="486"/>
      <c r="AG36" s="459"/>
      <c r="AH36" s="479"/>
      <c r="AI36" s="479"/>
      <c r="AJ36" s="11"/>
      <c r="AK36" s="11"/>
      <c r="AL36" s="11"/>
      <c r="AM36" s="11"/>
      <c r="AN36" s="11"/>
      <c r="AO36" s="11"/>
      <c r="AP36" s="11"/>
      <c r="AR36" s="11"/>
      <c r="AS36" s="11"/>
      <c r="AT36" s="11"/>
      <c r="AU36" s="11"/>
    </row>
    <row r="37" spans="1:70" s="20" customFormat="1" ht="14.25" customHeight="1" x14ac:dyDescent="0.4">
      <c r="B37" s="485"/>
      <c r="C37" s="485"/>
      <c r="D37" s="485"/>
      <c r="E37" s="485"/>
      <c r="F37" s="485"/>
      <c r="G37" s="485"/>
      <c r="H37" s="485"/>
      <c r="I37" s="485"/>
      <c r="J37" s="485"/>
      <c r="K37" s="479"/>
      <c r="L37" s="479"/>
      <c r="M37" s="479"/>
      <c r="N37" s="485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459"/>
      <c r="AA37" s="459"/>
      <c r="AB37" s="459"/>
      <c r="AC37" s="459"/>
      <c r="AD37" s="459"/>
      <c r="AE37" s="459"/>
      <c r="AF37" s="459"/>
      <c r="AG37" s="459"/>
      <c r="AH37" s="479"/>
      <c r="AI37" s="479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70" s="20" customFormat="1" ht="14.25" customHeight="1" x14ac:dyDescent="0.4">
      <c r="B38" s="485"/>
      <c r="C38" s="485"/>
      <c r="D38" s="485"/>
      <c r="E38" s="485"/>
      <c r="F38" s="485"/>
      <c r="G38" s="485"/>
      <c r="H38" s="485"/>
      <c r="I38" s="485"/>
      <c r="J38" s="485"/>
      <c r="K38" s="479" t="s">
        <v>34</v>
      </c>
      <c r="L38" s="479"/>
      <c r="M38" s="479"/>
      <c r="N38" s="485"/>
      <c r="O38" s="479"/>
      <c r="P38" s="479"/>
      <c r="Q38" s="479"/>
      <c r="R38" s="479"/>
      <c r="S38" s="479"/>
      <c r="T38" s="479"/>
      <c r="U38" s="479"/>
      <c r="V38" s="479"/>
      <c r="W38" s="479"/>
      <c r="X38" s="479"/>
      <c r="Y38" s="479"/>
      <c r="Z38" s="459"/>
      <c r="AA38" s="459"/>
      <c r="AB38" s="459"/>
      <c r="AC38" s="459"/>
      <c r="AD38" s="459"/>
      <c r="AE38" s="459"/>
      <c r="AF38" s="459"/>
      <c r="AG38" s="459"/>
      <c r="AH38" s="479"/>
      <c r="AI38" s="479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70" s="20" customFormat="1" ht="14.25" customHeight="1" x14ac:dyDescent="0.4">
      <c r="B39" s="485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  <c r="AC39" s="468"/>
      <c r="AD39" s="468"/>
      <c r="AE39" s="468"/>
      <c r="AF39" s="468"/>
      <c r="AG39" s="468"/>
      <c r="AH39" s="479"/>
      <c r="AI39" s="479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70" s="18" customFormat="1" ht="30" customHeight="1" x14ac:dyDescent="0.35">
      <c r="B40" s="469"/>
      <c r="C40" s="469"/>
      <c r="D40" s="469"/>
      <c r="E40" s="469"/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87" t="s">
        <v>35</v>
      </c>
      <c r="S40" s="469"/>
      <c r="T40" s="469"/>
      <c r="U40" s="469"/>
      <c r="V40" s="469"/>
      <c r="W40" s="469"/>
      <c r="X40" s="469"/>
      <c r="Y40" s="469"/>
      <c r="Z40" s="469"/>
      <c r="AA40" s="469"/>
      <c r="AB40" s="469"/>
      <c r="AC40" s="469"/>
      <c r="AD40" s="469"/>
      <c r="AE40" s="469"/>
      <c r="AF40" s="469"/>
      <c r="AG40" s="469"/>
      <c r="AH40" s="469"/>
      <c r="AI40" s="469"/>
    </row>
    <row r="41" spans="1:70" s="8" customFormat="1" ht="5.0999999999999996" customHeight="1" x14ac:dyDescent="0.4">
      <c r="B41" s="459"/>
      <c r="C41" s="459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59"/>
      <c r="O41" s="459"/>
      <c r="P41" s="459"/>
      <c r="Q41" s="459"/>
      <c r="R41" s="459"/>
      <c r="S41" s="459"/>
      <c r="T41" s="459"/>
      <c r="U41" s="459"/>
      <c r="V41" s="459"/>
      <c r="W41" s="459"/>
      <c r="X41" s="459"/>
      <c r="Y41" s="459"/>
      <c r="Z41" s="459"/>
      <c r="AA41" s="459"/>
      <c r="AB41" s="459"/>
      <c r="AC41" s="459"/>
      <c r="AD41" s="459"/>
      <c r="AE41" s="459"/>
      <c r="AF41" s="459"/>
      <c r="AG41" s="459"/>
      <c r="AH41" s="459"/>
      <c r="AI41" s="459"/>
    </row>
    <row r="42" spans="1:70" s="8" customFormat="1" ht="16.5" customHeight="1" x14ac:dyDescent="0.4">
      <c r="B42" s="459"/>
      <c r="C42" s="459"/>
      <c r="D42" s="472" t="s">
        <v>27</v>
      </c>
      <c r="E42" s="473"/>
      <c r="F42" s="474"/>
      <c r="G42" s="472" t="s">
        <v>28</v>
      </c>
      <c r="H42" s="473"/>
      <c r="I42" s="474"/>
      <c r="J42" s="472" t="s">
        <v>29</v>
      </c>
      <c r="K42" s="473"/>
      <c r="L42" s="474"/>
      <c r="M42" s="472" t="s">
        <v>30</v>
      </c>
      <c r="N42" s="473"/>
      <c r="O42" s="473"/>
      <c r="P42" s="473"/>
      <c r="Q42" s="473"/>
      <c r="R42" s="474"/>
      <c r="S42" s="475" t="s">
        <v>31</v>
      </c>
      <c r="T42" s="476"/>
      <c r="U42" s="477"/>
      <c r="V42" s="472" t="s">
        <v>32</v>
      </c>
      <c r="W42" s="473"/>
      <c r="X42" s="474"/>
      <c r="Y42" s="459"/>
      <c r="Z42" s="459"/>
      <c r="AA42" s="459"/>
      <c r="AB42" s="459"/>
      <c r="AC42" s="459"/>
      <c r="AD42" s="459"/>
      <c r="AE42" s="459"/>
      <c r="AF42" s="459"/>
      <c r="AG42" s="459"/>
      <c r="AH42" s="459"/>
      <c r="AI42" s="459"/>
    </row>
    <row r="43" spans="1:70" s="11" customFormat="1" ht="23.25" customHeight="1" x14ac:dyDescent="0.4">
      <c r="A43" s="8"/>
      <c r="B43" s="479"/>
      <c r="C43" s="479"/>
      <c r="D43" s="480"/>
      <c r="E43" s="480"/>
      <c r="F43" s="480"/>
      <c r="G43" s="480"/>
      <c r="H43" s="480"/>
      <c r="I43" s="480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79"/>
      <c r="Z43" s="479"/>
      <c r="AA43" s="479"/>
      <c r="AB43" s="479"/>
      <c r="AC43" s="479"/>
      <c r="AD43" s="479"/>
      <c r="AE43" s="479"/>
      <c r="AF43" s="479"/>
      <c r="AG43" s="479"/>
      <c r="AH43" s="479"/>
      <c r="AI43" s="479"/>
    </row>
    <row r="44" spans="1:70" s="11" customFormat="1" ht="23.25" customHeight="1" x14ac:dyDescent="0.4">
      <c r="A44" s="8"/>
      <c r="B44" s="479"/>
      <c r="C44" s="479"/>
      <c r="D44" s="480"/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79"/>
      <c r="Z44" s="479"/>
      <c r="AA44" s="479"/>
      <c r="AB44" s="479"/>
      <c r="AC44" s="479"/>
      <c r="AD44" s="479"/>
      <c r="AE44" s="479"/>
      <c r="AF44" s="479"/>
      <c r="AG44" s="479"/>
      <c r="AH44" s="479"/>
      <c r="AI44" s="479"/>
    </row>
    <row r="45" spans="1:70" s="11" customFormat="1" ht="14.25" customHeight="1" x14ac:dyDescent="0.4">
      <c r="A45" s="8"/>
      <c r="B45" s="478"/>
      <c r="C45" s="478"/>
      <c r="D45" s="478"/>
      <c r="E45" s="478"/>
      <c r="F45" s="478"/>
      <c r="G45" s="478"/>
      <c r="H45" s="478"/>
      <c r="I45" s="478"/>
      <c r="J45" s="478"/>
      <c r="K45" s="478"/>
      <c r="L45" s="478"/>
      <c r="M45" s="478"/>
      <c r="N45" s="478"/>
      <c r="O45" s="478"/>
      <c r="P45" s="478"/>
      <c r="Q45" s="478"/>
      <c r="R45" s="478"/>
      <c r="S45" s="478"/>
      <c r="T45" s="478"/>
      <c r="U45" s="459"/>
      <c r="V45" s="459"/>
      <c r="W45" s="459"/>
      <c r="X45" s="459"/>
      <c r="Y45" s="459"/>
      <c r="Z45" s="459"/>
      <c r="AA45" s="459"/>
      <c r="AB45" s="459"/>
      <c r="AC45" s="459"/>
      <c r="AD45" s="459"/>
      <c r="AE45" s="459"/>
      <c r="AF45" s="459"/>
      <c r="AG45" s="459"/>
      <c r="AH45" s="479"/>
      <c r="AI45" s="479"/>
    </row>
    <row r="46" spans="1:70" s="11" customFormat="1" ht="14.25" customHeight="1" x14ac:dyDescent="0.35">
      <c r="A46" s="8"/>
      <c r="B46" s="459"/>
      <c r="C46" s="459"/>
      <c r="D46" s="459"/>
      <c r="E46" s="459"/>
      <c r="F46" s="459"/>
      <c r="G46" s="459"/>
      <c r="H46" s="459"/>
      <c r="I46" s="459"/>
      <c r="J46" s="479" t="s">
        <v>36</v>
      </c>
      <c r="K46" s="479"/>
      <c r="L46" s="479"/>
      <c r="M46" s="479"/>
      <c r="N46" s="479"/>
      <c r="O46" s="479"/>
      <c r="P46" s="479"/>
      <c r="Q46" s="479"/>
      <c r="R46" s="479"/>
      <c r="S46" s="479"/>
      <c r="T46" s="478" t="s">
        <v>7</v>
      </c>
      <c r="U46" s="478"/>
      <c r="V46" s="482"/>
      <c r="W46" s="482"/>
      <c r="X46" s="481" t="s">
        <v>8</v>
      </c>
      <c r="Y46" s="483"/>
      <c r="Z46" s="482"/>
      <c r="AA46" s="482"/>
      <c r="AB46" s="481" t="s">
        <v>23</v>
      </c>
      <c r="AC46" s="484"/>
      <c r="AD46" s="482"/>
      <c r="AE46" s="482"/>
      <c r="AF46" s="481" t="s">
        <v>10</v>
      </c>
      <c r="AG46" s="459"/>
      <c r="AH46" s="488"/>
      <c r="AI46" s="488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</row>
    <row r="47" spans="1:70" s="11" customFormat="1" ht="14.25" customHeight="1" x14ac:dyDescent="0.4">
      <c r="A47" s="8"/>
      <c r="B47" s="459"/>
      <c r="C47" s="459"/>
      <c r="D47" s="459"/>
      <c r="E47" s="459"/>
      <c r="F47" s="459"/>
      <c r="G47" s="459"/>
      <c r="H47" s="459"/>
      <c r="I47" s="459"/>
      <c r="J47" s="479"/>
      <c r="K47" s="479"/>
      <c r="L47" s="479"/>
      <c r="M47" s="479"/>
      <c r="N47" s="479"/>
      <c r="O47" s="479"/>
      <c r="P47" s="479"/>
      <c r="Q47" s="479"/>
      <c r="R47" s="479"/>
      <c r="S47" s="479"/>
      <c r="T47" s="479"/>
      <c r="U47" s="479"/>
      <c r="V47" s="479"/>
      <c r="W47" s="479"/>
      <c r="X47" s="479"/>
      <c r="Y47" s="479"/>
      <c r="Z47" s="459"/>
      <c r="AA47" s="459"/>
      <c r="AB47" s="459"/>
      <c r="AC47" s="459"/>
      <c r="AD47" s="459"/>
      <c r="AE47" s="459"/>
      <c r="AF47" s="459"/>
      <c r="AG47" s="459"/>
      <c r="AH47" s="479"/>
      <c r="AI47" s="479"/>
    </row>
    <row r="48" spans="1:70" s="11" customFormat="1" ht="14.25" customHeight="1" x14ac:dyDescent="0.4">
      <c r="A48" s="8"/>
      <c r="B48" s="459"/>
      <c r="C48" s="479"/>
      <c r="D48" s="479"/>
      <c r="E48" s="479"/>
      <c r="F48" s="479"/>
      <c r="G48" s="459" t="s">
        <v>37</v>
      </c>
      <c r="H48" s="459"/>
      <c r="I48" s="459"/>
      <c r="J48" s="459"/>
      <c r="K48" s="479" t="s">
        <v>38</v>
      </c>
      <c r="L48" s="459"/>
      <c r="M48" s="459"/>
      <c r="N48" s="479"/>
      <c r="O48" s="479"/>
      <c r="P48" s="479"/>
      <c r="Q48" s="479"/>
      <c r="R48" s="479"/>
      <c r="S48" s="479"/>
      <c r="T48" s="479"/>
      <c r="U48" s="479"/>
      <c r="V48" s="479"/>
      <c r="W48" s="479"/>
      <c r="X48" s="479"/>
      <c r="Y48" s="479"/>
      <c r="Z48" s="479"/>
      <c r="AA48" s="479"/>
      <c r="AB48" s="479"/>
      <c r="AC48" s="479"/>
      <c r="AD48" s="459"/>
      <c r="AE48" s="459"/>
      <c r="AF48" s="479"/>
      <c r="AG48" s="459"/>
      <c r="AH48" s="479"/>
      <c r="AI48" s="479"/>
    </row>
    <row r="49" spans="1:35" s="11" customFormat="1" ht="14.25" customHeight="1" x14ac:dyDescent="0.4">
      <c r="A49" s="8"/>
      <c r="B49" s="459"/>
      <c r="C49" s="479"/>
      <c r="D49" s="479"/>
      <c r="E49" s="479"/>
      <c r="F49" s="479"/>
      <c r="G49" s="459"/>
      <c r="H49" s="459"/>
      <c r="I49" s="459"/>
      <c r="J49" s="459"/>
      <c r="K49" s="479"/>
      <c r="L49" s="459"/>
      <c r="M49" s="459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59"/>
      <c r="AE49" s="459"/>
      <c r="AF49" s="479"/>
      <c r="AG49" s="459"/>
      <c r="AH49" s="479"/>
      <c r="AI49" s="479"/>
    </row>
    <row r="50" spans="1:35" s="20" customFormat="1" ht="14.25" customHeight="1" x14ac:dyDescent="0.4">
      <c r="B50" s="485"/>
      <c r="C50" s="485"/>
      <c r="D50" s="485"/>
      <c r="E50" s="485"/>
      <c r="F50" s="485"/>
      <c r="G50" s="485"/>
      <c r="H50" s="485"/>
      <c r="I50" s="485"/>
      <c r="J50" s="485"/>
      <c r="K50" s="485" t="s">
        <v>39</v>
      </c>
      <c r="L50" s="485"/>
      <c r="M50" s="485"/>
      <c r="N50" s="485"/>
      <c r="O50" s="485"/>
      <c r="P50" s="485"/>
      <c r="Q50" s="485"/>
      <c r="R50" s="479" t="s">
        <v>42</v>
      </c>
      <c r="S50" s="486"/>
      <c r="T50" s="485"/>
      <c r="U50" s="478"/>
      <c r="V50" s="485"/>
      <c r="W50" s="485"/>
      <c r="X50" s="485"/>
      <c r="Y50" s="485"/>
      <c r="Z50" s="485"/>
      <c r="AA50" s="485"/>
      <c r="AB50" s="485"/>
      <c r="AC50" s="485"/>
      <c r="AD50" s="481"/>
      <c r="AE50" s="485"/>
      <c r="AF50" s="486"/>
      <c r="AG50" s="485"/>
      <c r="AH50" s="485"/>
      <c r="AI50" s="485"/>
    </row>
    <row r="51" spans="1:35" s="20" customFormat="1" ht="14.25" customHeight="1" x14ac:dyDescent="0.4">
      <c r="B51" s="485"/>
      <c r="C51" s="485"/>
      <c r="D51" s="485"/>
      <c r="E51" s="485"/>
      <c r="F51" s="485"/>
      <c r="G51" s="485"/>
      <c r="H51" s="485"/>
      <c r="I51" s="485"/>
      <c r="J51" s="485"/>
      <c r="K51" s="485"/>
      <c r="L51" s="485"/>
      <c r="M51" s="485"/>
      <c r="N51" s="485"/>
      <c r="O51" s="485"/>
      <c r="P51" s="485"/>
      <c r="Q51" s="485"/>
      <c r="R51" s="485"/>
      <c r="S51" s="485"/>
      <c r="T51" s="485"/>
      <c r="U51" s="485"/>
      <c r="V51" s="485"/>
      <c r="W51" s="485"/>
      <c r="X51" s="485"/>
      <c r="Y51" s="485"/>
      <c r="Z51" s="485"/>
      <c r="AA51" s="485"/>
      <c r="AB51" s="485"/>
      <c r="AC51" s="485"/>
      <c r="AD51" s="485"/>
      <c r="AE51" s="485"/>
      <c r="AF51" s="485"/>
      <c r="AG51" s="485"/>
      <c r="AH51" s="485"/>
      <c r="AI51" s="485"/>
    </row>
    <row r="52" spans="1:35" s="20" customFormat="1" ht="14.25" customHeight="1" x14ac:dyDescent="0.4">
      <c r="B52" s="485"/>
      <c r="C52" s="485"/>
      <c r="D52" s="485"/>
      <c r="E52" s="485"/>
      <c r="F52" s="485"/>
      <c r="G52" s="485"/>
      <c r="H52" s="485"/>
      <c r="I52" s="485"/>
      <c r="J52" s="485"/>
      <c r="K52" s="485" t="s">
        <v>40</v>
      </c>
      <c r="L52" s="485"/>
      <c r="M52" s="485"/>
      <c r="N52" s="485"/>
      <c r="O52" s="485"/>
      <c r="P52" s="485"/>
      <c r="Q52" s="485"/>
      <c r="R52" s="485"/>
      <c r="S52" s="485"/>
      <c r="T52" s="485"/>
      <c r="U52" s="485"/>
      <c r="V52" s="485"/>
      <c r="W52" s="485"/>
      <c r="X52" s="485"/>
      <c r="Y52" s="485"/>
      <c r="Z52" s="485"/>
      <c r="AA52" s="485"/>
      <c r="AB52" s="485"/>
      <c r="AC52" s="485"/>
      <c r="AD52" s="485"/>
      <c r="AE52" s="485" t="s">
        <v>16</v>
      </c>
      <c r="AF52" s="485"/>
      <c r="AG52" s="485"/>
      <c r="AH52" s="485"/>
      <c r="AI52" s="485"/>
    </row>
    <row r="53" spans="1:35" s="20" customFormat="1" ht="14.25" customHeight="1" x14ac:dyDescent="0.4">
      <c r="B53" s="485"/>
      <c r="C53" s="485"/>
      <c r="D53" s="485"/>
      <c r="E53" s="485"/>
      <c r="F53" s="485"/>
      <c r="G53" s="485"/>
      <c r="H53" s="485"/>
      <c r="I53" s="485"/>
      <c r="J53" s="485"/>
      <c r="K53" s="485"/>
      <c r="L53" s="485"/>
      <c r="M53" s="485"/>
      <c r="N53" s="485"/>
      <c r="O53" s="485"/>
      <c r="P53" s="485"/>
      <c r="Q53" s="485"/>
      <c r="R53" s="485"/>
      <c r="S53" s="485"/>
      <c r="T53" s="485"/>
      <c r="U53" s="485"/>
      <c r="V53" s="485"/>
      <c r="W53" s="485"/>
      <c r="X53" s="485"/>
      <c r="Y53" s="485"/>
      <c r="Z53" s="485"/>
      <c r="AA53" s="485"/>
      <c r="AB53" s="485"/>
      <c r="AC53" s="485"/>
      <c r="AD53" s="485"/>
      <c r="AE53" s="485"/>
      <c r="AF53" s="485"/>
      <c r="AG53" s="485"/>
      <c r="AH53" s="485"/>
      <c r="AI53" s="485"/>
    </row>
    <row r="54" spans="1:35" s="20" customFormat="1" ht="17.25" customHeight="1" x14ac:dyDescent="0.4"/>
    <row r="55" spans="1:35" s="20" customFormat="1" ht="17.25" customHeight="1" x14ac:dyDescent="0.4"/>
    <row r="56" spans="1:35" s="20" customFormat="1" ht="17.25" customHeight="1" x14ac:dyDescent="0.4"/>
    <row r="57" spans="1:35" s="20" customFormat="1" ht="17.25" customHeight="1" x14ac:dyDescent="0.4"/>
    <row r="58" spans="1:35" ht="17.25" customHeight="1" x14ac:dyDescent="0.4">
      <c r="Z58" s="1"/>
      <c r="AA58" s="1"/>
      <c r="AB58" s="1"/>
      <c r="AC58" s="1"/>
      <c r="AD58" s="1"/>
      <c r="AE58" s="1"/>
      <c r="AF58" s="1"/>
      <c r="AG58" s="1"/>
    </row>
    <row r="59" spans="1:35" ht="17.25" customHeight="1" x14ac:dyDescent="0.4">
      <c r="Z59" s="1"/>
      <c r="AA59" s="1"/>
      <c r="AB59" s="1"/>
      <c r="AC59" s="1"/>
      <c r="AD59" s="1"/>
      <c r="AE59" s="1"/>
      <c r="AF59" s="1"/>
      <c r="AG59" s="1"/>
    </row>
    <row r="60" spans="1:35" ht="17.25" customHeight="1" x14ac:dyDescent="0.4">
      <c r="Z60" s="1"/>
      <c r="AA60" s="1"/>
      <c r="AB60" s="1"/>
      <c r="AC60" s="1"/>
      <c r="AD60" s="1"/>
      <c r="AE60" s="1"/>
      <c r="AF60" s="1"/>
      <c r="AG60" s="1"/>
    </row>
    <row r="61" spans="1:35" ht="17.25" customHeight="1" x14ac:dyDescent="0.4">
      <c r="Z61" s="1"/>
      <c r="AA61" s="1"/>
      <c r="AB61" s="1"/>
      <c r="AC61" s="1"/>
      <c r="AD61" s="1"/>
      <c r="AE61" s="1"/>
      <c r="AF61" s="1"/>
      <c r="AG61" s="1"/>
    </row>
    <row r="62" spans="1:35" ht="17.25" customHeight="1" x14ac:dyDescent="0.4">
      <c r="Z62" s="1"/>
      <c r="AA62" s="1"/>
      <c r="AB62" s="1"/>
      <c r="AC62" s="1"/>
      <c r="AD62" s="1"/>
      <c r="AE62" s="1"/>
      <c r="AF62" s="1"/>
      <c r="AG62" s="1"/>
    </row>
    <row r="63" spans="1:35" ht="17.25" customHeight="1" x14ac:dyDescent="0.4">
      <c r="Z63" s="1"/>
      <c r="AA63" s="1"/>
      <c r="AB63" s="1"/>
      <c r="AC63" s="1"/>
      <c r="AD63" s="1"/>
      <c r="AE63" s="1"/>
      <c r="AF63" s="1"/>
      <c r="AG63" s="1"/>
    </row>
    <row r="64" spans="1:35" ht="17.25" customHeight="1" x14ac:dyDescent="0.4">
      <c r="Z64" s="1"/>
      <c r="AA64" s="1"/>
      <c r="AB64" s="1"/>
      <c r="AC64" s="1"/>
      <c r="AD64" s="1"/>
      <c r="AE64" s="1"/>
      <c r="AF64" s="1"/>
      <c r="AG64" s="1"/>
    </row>
    <row r="65" spans="26:33" ht="17.25" customHeight="1" x14ac:dyDescent="0.4">
      <c r="Z65" s="1"/>
      <c r="AA65" s="1"/>
      <c r="AB65" s="1"/>
      <c r="AC65" s="1"/>
      <c r="AD65" s="1"/>
      <c r="AE65" s="1"/>
      <c r="AF65" s="1"/>
      <c r="AG65" s="1"/>
    </row>
    <row r="66" spans="26:33" ht="17.25" customHeight="1" x14ac:dyDescent="0.4">
      <c r="Z66" s="1"/>
      <c r="AA66" s="1"/>
      <c r="AB66" s="1"/>
      <c r="AC66" s="1"/>
      <c r="AD66" s="1"/>
      <c r="AE66" s="1"/>
      <c r="AF66" s="1"/>
      <c r="AG66" s="1"/>
    </row>
    <row r="67" spans="26:33" ht="17.25" customHeight="1" x14ac:dyDescent="0.4">
      <c r="Z67" s="1"/>
      <c r="AA67" s="1"/>
      <c r="AB67" s="1"/>
      <c r="AC67" s="1"/>
      <c r="AD67" s="1"/>
      <c r="AE67" s="1"/>
      <c r="AF67" s="1"/>
      <c r="AG67" s="1"/>
    </row>
    <row r="68" spans="26:33" ht="17.25" customHeight="1" x14ac:dyDescent="0.4">
      <c r="Z68" s="1"/>
      <c r="AA68" s="1"/>
      <c r="AB68" s="1"/>
      <c r="AC68" s="1"/>
      <c r="AD68" s="1"/>
      <c r="AE68" s="1"/>
      <c r="AF68" s="1"/>
      <c r="AG68" s="1"/>
    </row>
    <row r="69" spans="26:33" ht="17.25" customHeight="1" x14ac:dyDescent="0.4">
      <c r="Z69" s="1"/>
      <c r="AA69" s="1"/>
      <c r="AB69" s="1"/>
      <c r="AC69" s="1"/>
      <c r="AD69" s="1"/>
      <c r="AE69" s="1"/>
      <c r="AF69" s="1"/>
      <c r="AG69" s="1"/>
    </row>
    <row r="70" spans="26:33" ht="17.25" customHeight="1" x14ac:dyDescent="0.4">
      <c r="Z70" s="1"/>
      <c r="AA70" s="1"/>
      <c r="AB70" s="1"/>
      <c r="AC70" s="1"/>
      <c r="AD70" s="1"/>
      <c r="AE70" s="1"/>
      <c r="AF70" s="1"/>
      <c r="AG70" s="1"/>
    </row>
    <row r="71" spans="26:33" ht="17.25" customHeight="1" x14ac:dyDescent="0.4">
      <c r="Z71" s="1"/>
      <c r="AA71" s="1"/>
      <c r="AB71" s="1"/>
      <c r="AC71" s="1"/>
      <c r="AD71" s="1"/>
      <c r="AE71" s="1"/>
      <c r="AF71" s="1"/>
      <c r="AG71" s="1"/>
    </row>
    <row r="72" spans="26:33" ht="17.25" customHeight="1" x14ac:dyDescent="0.4">
      <c r="Z72" s="1"/>
      <c r="AA72" s="1"/>
      <c r="AB72" s="1"/>
      <c r="AC72" s="1"/>
      <c r="AD72" s="1"/>
      <c r="AE72" s="1"/>
      <c r="AF72" s="1"/>
      <c r="AG72" s="1"/>
    </row>
    <row r="73" spans="26:33" ht="17.25" customHeight="1" x14ac:dyDescent="0.4">
      <c r="Z73" s="1"/>
      <c r="AA73" s="1"/>
      <c r="AB73" s="1"/>
      <c r="AC73" s="1"/>
      <c r="AD73" s="1"/>
      <c r="AE73" s="1"/>
      <c r="AF73" s="1"/>
      <c r="AG73" s="1"/>
    </row>
    <row r="74" spans="26:33" ht="17.25" customHeight="1" x14ac:dyDescent="0.4">
      <c r="Z74" s="1"/>
      <c r="AA74" s="1"/>
      <c r="AB74" s="1"/>
      <c r="AC74" s="1"/>
      <c r="AD74" s="1"/>
      <c r="AE74" s="1"/>
      <c r="AF74" s="1"/>
      <c r="AG74" s="1"/>
    </row>
    <row r="75" spans="26:33" ht="17.25" customHeight="1" x14ac:dyDescent="0.4">
      <c r="Z75" s="1"/>
      <c r="AA75" s="1"/>
      <c r="AB75" s="1"/>
      <c r="AC75" s="1"/>
      <c r="AD75" s="1"/>
      <c r="AE75" s="1"/>
      <c r="AF75" s="1"/>
      <c r="AG75" s="1"/>
    </row>
    <row r="76" spans="26:33" ht="17.25" customHeight="1" x14ac:dyDescent="0.4">
      <c r="Z76" s="1"/>
      <c r="AA76" s="1"/>
      <c r="AB76" s="1"/>
      <c r="AC76" s="1"/>
      <c r="AD76" s="1"/>
      <c r="AE76" s="1"/>
      <c r="AF76" s="1"/>
      <c r="AG76" s="1"/>
    </row>
    <row r="77" spans="26:33" ht="17.25" customHeight="1" x14ac:dyDescent="0.4">
      <c r="Z77" s="1"/>
      <c r="AA77" s="1"/>
      <c r="AB77" s="1"/>
      <c r="AC77" s="1"/>
      <c r="AD77" s="1"/>
      <c r="AE77" s="1"/>
      <c r="AF77" s="1"/>
      <c r="AG77" s="1"/>
    </row>
    <row r="78" spans="26:33" ht="17.25" customHeight="1" x14ac:dyDescent="0.4">
      <c r="Z78" s="1"/>
      <c r="AA78" s="1"/>
      <c r="AB78" s="1"/>
      <c r="AC78" s="1"/>
      <c r="AD78" s="1"/>
      <c r="AE78" s="1"/>
      <c r="AF78" s="1"/>
      <c r="AG78" s="1"/>
    </row>
    <row r="79" spans="26:33" ht="17.25" customHeight="1" x14ac:dyDescent="0.4">
      <c r="Z79" s="1"/>
      <c r="AA79" s="1"/>
      <c r="AB79" s="1"/>
      <c r="AC79" s="1"/>
      <c r="AD79" s="1"/>
      <c r="AE79" s="1"/>
      <c r="AF79" s="1"/>
      <c r="AG79" s="1"/>
    </row>
    <row r="80" spans="26:33" ht="17.25" customHeight="1" x14ac:dyDescent="0.4">
      <c r="Z80" s="1"/>
      <c r="AA80" s="1"/>
      <c r="AB80" s="1"/>
      <c r="AC80" s="1"/>
      <c r="AD80" s="1"/>
      <c r="AE80" s="1"/>
      <c r="AF80" s="1"/>
      <c r="AG80" s="1"/>
    </row>
    <row r="81" spans="26:33" ht="17.25" customHeight="1" x14ac:dyDescent="0.4">
      <c r="Z81" s="1"/>
      <c r="AA81" s="1"/>
      <c r="AB81" s="1"/>
      <c r="AC81" s="1"/>
      <c r="AD81" s="1"/>
      <c r="AE81" s="1"/>
      <c r="AF81" s="1"/>
      <c r="AG81" s="1"/>
    </row>
    <row r="82" spans="26:33" ht="17.25" customHeight="1" x14ac:dyDescent="0.4">
      <c r="Z82" s="1"/>
      <c r="AA82" s="1"/>
      <c r="AB82" s="1"/>
      <c r="AC82" s="1"/>
      <c r="AD82" s="1"/>
      <c r="AE82" s="1"/>
      <c r="AF82" s="1"/>
      <c r="AG82" s="1"/>
    </row>
    <row r="83" spans="26:33" ht="17.25" customHeight="1" x14ac:dyDescent="0.4">
      <c r="Z83" s="1"/>
      <c r="AA83" s="1"/>
      <c r="AB83" s="1"/>
      <c r="AC83" s="1"/>
      <c r="AD83" s="1"/>
      <c r="AE83" s="1"/>
      <c r="AF83" s="1"/>
      <c r="AG83" s="1"/>
    </row>
    <row r="84" spans="26:33" ht="17.25" customHeight="1" x14ac:dyDescent="0.4">
      <c r="Z84" s="1"/>
      <c r="AA84" s="1"/>
      <c r="AB84" s="1"/>
      <c r="AC84" s="1"/>
      <c r="AD84" s="1"/>
      <c r="AE84" s="1"/>
      <c r="AF84" s="1"/>
      <c r="AG84" s="1"/>
    </row>
    <row r="85" spans="26:33" ht="17.25" customHeight="1" x14ac:dyDescent="0.4">
      <c r="Z85" s="1"/>
      <c r="AA85" s="1"/>
      <c r="AB85" s="1"/>
      <c r="AC85" s="1"/>
      <c r="AD85" s="1"/>
      <c r="AE85" s="1"/>
      <c r="AF85" s="1"/>
      <c r="AG85" s="1"/>
    </row>
    <row r="86" spans="26:33" ht="17.25" customHeight="1" x14ac:dyDescent="0.4">
      <c r="Z86" s="1"/>
      <c r="AA86" s="1"/>
      <c r="AB86" s="1"/>
      <c r="AC86" s="1"/>
      <c r="AD86" s="1"/>
      <c r="AE86" s="1"/>
      <c r="AF86" s="1"/>
      <c r="AG86" s="1"/>
    </row>
    <row r="87" spans="26:33" ht="17.25" customHeight="1" x14ac:dyDescent="0.4">
      <c r="Z87" s="1"/>
      <c r="AA87" s="1"/>
      <c r="AB87" s="1"/>
      <c r="AC87" s="1"/>
      <c r="AD87" s="1"/>
      <c r="AE87" s="1"/>
      <c r="AF87" s="1"/>
      <c r="AG87" s="1"/>
    </row>
    <row r="88" spans="26:33" ht="17.25" customHeight="1" x14ac:dyDescent="0.4">
      <c r="Z88" s="1"/>
      <c r="AA88" s="1"/>
      <c r="AB88" s="1"/>
      <c r="AC88" s="1"/>
      <c r="AD88" s="1"/>
      <c r="AE88" s="1"/>
      <c r="AF88" s="1"/>
      <c r="AG88" s="1"/>
    </row>
    <row r="89" spans="26:33" ht="17.25" customHeight="1" x14ac:dyDescent="0.4">
      <c r="Z89" s="1"/>
      <c r="AA89" s="1"/>
      <c r="AB89" s="1"/>
      <c r="AC89" s="1"/>
      <c r="AD89" s="1"/>
      <c r="AE89" s="1"/>
      <c r="AF89" s="1"/>
      <c r="AG89" s="1"/>
    </row>
    <row r="90" spans="26:33" ht="17.25" customHeight="1" x14ac:dyDescent="0.4">
      <c r="Z90" s="1"/>
      <c r="AA90" s="1"/>
      <c r="AB90" s="1"/>
      <c r="AC90" s="1"/>
      <c r="AD90" s="1"/>
      <c r="AE90" s="1"/>
      <c r="AF90" s="1"/>
      <c r="AG90" s="1"/>
    </row>
    <row r="91" spans="26:33" ht="17.25" customHeight="1" x14ac:dyDescent="0.4">
      <c r="Z91" s="1"/>
      <c r="AA91" s="1"/>
      <c r="AB91" s="1"/>
      <c r="AC91" s="1"/>
      <c r="AD91" s="1"/>
      <c r="AE91" s="1"/>
      <c r="AF91" s="1"/>
      <c r="AG91" s="1"/>
    </row>
    <row r="92" spans="26:33" ht="17.25" customHeight="1" x14ac:dyDescent="0.4">
      <c r="Z92" s="1"/>
      <c r="AA92" s="1"/>
      <c r="AB92" s="1"/>
      <c r="AC92" s="1"/>
      <c r="AD92" s="1"/>
      <c r="AE92" s="1"/>
      <c r="AF92" s="1"/>
      <c r="AG92" s="1"/>
    </row>
    <row r="93" spans="26:33" ht="17.25" customHeight="1" x14ac:dyDescent="0.4">
      <c r="Z93" s="1"/>
      <c r="AA93" s="1"/>
      <c r="AB93" s="1"/>
      <c r="AC93" s="1"/>
      <c r="AD93" s="1"/>
      <c r="AE93" s="1"/>
      <c r="AF93" s="1"/>
      <c r="AG93" s="1"/>
    </row>
    <row r="94" spans="26:33" ht="17.25" customHeight="1" x14ac:dyDescent="0.4">
      <c r="Z94" s="1"/>
      <c r="AA94" s="1"/>
      <c r="AB94" s="1"/>
      <c r="AC94" s="1"/>
      <c r="AD94" s="1"/>
      <c r="AE94" s="1"/>
      <c r="AF94" s="1"/>
      <c r="AG94" s="1"/>
    </row>
    <row r="95" spans="26:33" ht="17.25" customHeight="1" x14ac:dyDescent="0.4">
      <c r="Z95" s="1"/>
      <c r="AA95" s="1"/>
      <c r="AB95" s="1"/>
      <c r="AC95" s="1"/>
      <c r="AD95" s="1"/>
      <c r="AE95" s="1"/>
      <c r="AF95" s="1"/>
      <c r="AG95" s="1"/>
    </row>
    <row r="96" spans="26:33" ht="17.25" customHeight="1" x14ac:dyDescent="0.4">
      <c r="Z96" s="1"/>
      <c r="AA96" s="1"/>
      <c r="AB96" s="1"/>
      <c r="AC96" s="1"/>
      <c r="AD96" s="1"/>
      <c r="AE96" s="1"/>
      <c r="AF96" s="1"/>
      <c r="AG96" s="1"/>
    </row>
    <row r="97" spans="26:33" ht="17.25" customHeight="1" x14ac:dyDescent="0.4">
      <c r="Z97" s="1"/>
      <c r="AA97" s="1"/>
      <c r="AB97" s="1"/>
      <c r="AC97" s="1"/>
      <c r="AD97" s="1"/>
      <c r="AE97" s="1"/>
      <c r="AF97" s="1"/>
      <c r="AG97" s="1"/>
    </row>
    <row r="98" spans="26:33" ht="17.25" customHeight="1" x14ac:dyDescent="0.4">
      <c r="Z98" s="1"/>
      <c r="AA98" s="1"/>
      <c r="AB98" s="1"/>
      <c r="AC98" s="1"/>
      <c r="AD98" s="1"/>
      <c r="AE98" s="1"/>
      <c r="AF98" s="1"/>
      <c r="AG98" s="1"/>
    </row>
    <row r="99" spans="26:33" ht="17.25" customHeight="1" x14ac:dyDescent="0.4">
      <c r="Z99" s="1"/>
      <c r="AA99" s="1"/>
      <c r="AB99" s="1"/>
      <c r="AC99" s="1"/>
      <c r="AD99" s="1"/>
      <c r="AE99" s="1"/>
      <c r="AF99" s="1"/>
      <c r="AG99" s="1"/>
    </row>
    <row r="100" spans="26:33" ht="17.25" customHeight="1" x14ac:dyDescent="0.4">
      <c r="Z100" s="1"/>
      <c r="AA100" s="1"/>
      <c r="AB100" s="1"/>
      <c r="AC100" s="1"/>
      <c r="AD100" s="1"/>
      <c r="AE100" s="1"/>
      <c r="AF100" s="1"/>
      <c r="AG100" s="1"/>
    </row>
    <row r="101" spans="26:33" ht="17.25" customHeight="1" x14ac:dyDescent="0.4">
      <c r="Z101" s="1"/>
      <c r="AA101" s="1"/>
      <c r="AB101" s="1"/>
      <c r="AC101" s="1"/>
      <c r="AD101" s="1"/>
      <c r="AE101" s="1"/>
      <c r="AF101" s="1"/>
      <c r="AG101" s="1"/>
    </row>
    <row r="102" spans="26:33" ht="17.25" customHeight="1" x14ac:dyDescent="0.4">
      <c r="Z102" s="1"/>
      <c r="AA102" s="1"/>
      <c r="AB102" s="1"/>
      <c r="AC102" s="1"/>
      <c r="AD102" s="1"/>
      <c r="AE102" s="1"/>
      <c r="AF102" s="1"/>
      <c r="AG102" s="1"/>
    </row>
    <row r="103" spans="26:33" ht="17.25" customHeight="1" x14ac:dyDescent="0.4">
      <c r="Z103" s="1"/>
      <c r="AA103" s="1"/>
      <c r="AB103" s="1"/>
      <c r="AC103" s="1"/>
      <c r="AD103" s="1"/>
      <c r="AE103" s="1"/>
      <c r="AF103" s="1"/>
      <c r="AG103" s="1"/>
    </row>
    <row r="104" spans="26:33" ht="17.25" customHeight="1" x14ac:dyDescent="0.4">
      <c r="Z104" s="1"/>
      <c r="AA104" s="1"/>
      <c r="AB104" s="1"/>
      <c r="AC104" s="1"/>
      <c r="AD104" s="1"/>
      <c r="AE104" s="1"/>
      <c r="AF104" s="1"/>
      <c r="AG104" s="1"/>
    </row>
    <row r="105" spans="26:33" ht="17.25" customHeight="1" x14ac:dyDescent="0.4">
      <c r="Z105" s="1"/>
      <c r="AA105" s="1"/>
      <c r="AB105" s="1"/>
      <c r="AC105" s="1"/>
      <c r="AD105" s="1"/>
      <c r="AE105" s="1"/>
      <c r="AF105" s="1"/>
      <c r="AG105" s="1"/>
    </row>
    <row r="106" spans="26:33" ht="17.25" customHeight="1" x14ac:dyDescent="0.4">
      <c r="Z106" s="1"/>
      <c r="AA106" s="1"/>
      <c r="AB106" s="1"/>
      <c r="AC106" s="1"/>
      <c r="AD106" s="1"/>
      <c r="AE106" s="1"/>
      <c r="AF106" s="1"/>
      <c r="AG106" s="1"/>
    </row>
  </sheetData>
  <mergeCells count="50">
    <mergeCell ref="V46:W46"/>
    <mergeCell ref="Z46:AA46"/>
    <mergeCell ref="AD46:AE46"/>
    <mergeCell ref="B8:K8"/>
    <mergeCell ref="D43:F44"/>
    <mergeCell ref="G43:I44"/>
    <mergeCell ref="J43:L44"/>
    <mergeCell ref="M43:R44"/>
    <mergeCell ref="S43:U44"/>
    <mergeCell ref="V43:X44"/>
    <mergeCell ref="V34:W34"/>
    <mergeCell ref="Z34:AA34"/>
    <mergeCell ref="AD34:AE34"/>
    <mergeCell ref="D42:F42"/>
    <mergeCell ref="G42:I42"/>
    <mergeCell ref="J42:L42"/>
    <mergeCell ref="M42:R42"/>
    <mergeCell ref="S42:U42"/>
    <mergeCell ref="V42:X42"/>
    <mergeCell ref="D31:F32"/>
    <mergeCell ref="G31:I32"/>
    <mergeCell ref="J31:L32"/>
    <mergeCell ref="M31:R32"/>
    <mergeCell ref="S31:U32"/>
    <mergeCell ref="V31:X32"/>
    <mergeCell ref="D30:F30"/>
    <mergeCell ref="G30:I30"/>
    <mergeCell ref="J30:L30"/>
    <mergeCell ref="M30:R30"/>
    <mergeCell ref="S30:U30"/>
    <mergeCell ref="V30:X30"/>
    <mergeCell ref="G26:J26"/>
    <mergeCell ref="K26:L26"/>
    <mergeCell ref="N26:O26"/>
    <mergeCell ref="Q26:R26"/>
    <mergeCell ref="V26:X26"/>
    <mergeCell ref="Y26:AG26"/>
    <mergeCell ref="G20:J20"/>
    <mergeCell ref="G22:J22"/>
    <mergeCell ref="L22:AC22"/>
    <mergeCell ref="G24:J24"/>
    <mergeCell ref="N24:O24"/>
    <mergeCell ref="R24:S24"/>
    <mergeCell ref="V24:W24"/>
    <mergeCell ref="Z4:AA4"/>
    <mergeCell ref="AC4:AD4"/>
    <mergeCell ref="AF4:AG4"/>
    <mergeCell ref="D6:AF6"/>
    <mergeCell ref="G18:J18"/>
    <mergeCell ref="L18:AC18"/>
  </mergeCells>
  <phoneticPr fontId="1"/>
  <conditionalFormatting sqref="P20:AE20 AS17:AT17 L18:AC18 AE18:AG18">
    <cfRule type="cellIs" dxfId="0" priority="1" stopIfTrue="1" operator="notBetween">
      <formula>0</formula>
      <formula>0</formula>
    </cfRule>
  </conditionalFormatting>
  <printOptions horizontalCentered="1"/>
  <pageMargins left="0.62992125984251968" right="7.874015748031496E-2" top="0.19685039370078741" bottom="0.19685039370078741" header="0.19685039370078741" footer="0.19685039370078741"/>
  <pageSetup paperSize="9" scale="91" firstPageNumber="0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8"/>
  <sheetViews>
    <sheetView showGridLines="0" view="pageBreakPreview" zoomScale="85" zoomScaleSheetLayoutView="85" workbookViewId="0">
      <selection activeCell="AO22" sqref="AO22"/>
    </sheetView>
  </sheetViews>
  <sheetFormatPr defaultColWidth="3" defaultRowHeight="15.75" customHeight="1" x14ac:dyDescent="0.35"/>
  <cols>
    <col min="1" max="7" width="3" style="26"/>
    <col min="8" max="27" width="3.25" style="26" customWidth="1"/>
    <col min="28" max="16384" width="3" style="26"/>
  </cols>
  <sheetData>
    <row r="1" spans="1:42" ht="15.75" customHeight="1" x14ac:dyDescent="0.35">
      <c r="A1" s="307" t="s">
        <v>43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24"/>
      <c r="AG1" s="24"/>
      <c r="AH1" s="25"/>
      <c r="AI1" s="25"/>
    </row>
    <row r="2" spans="1:42" ht="15.75" customHeight="1" x14ac:dyDescent="0.3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24"/>
      <c r="AG2" s="24"/>
      <c r="AH2" s="25"/>
      <c r="AI2" s="25"/>
    </row>
    <row r="3" spans="1:42" ht="15.75" customHeight="1" x14ac:dyDescent="0.35">
      <c r="A3" s="30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24"/>
      <c r="AG3" s="24"/>
      <c r="AH3" s="25"/>
      <c r="AI3" s="25"/>
    </row>
    <row r="4" spans="1:42" ht="15.75" customHeight="1" x14ac:dyDescent="0.35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24"/>
      <c r="AG4" s="24"/>
      <c r="AH4" s="25"/>
      <c r="AI4" s="25"/>
    </row>
    <row r="5" spans="1:42" ht="15.75" customHeight="1" x14ac:dyDescent="0.35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  <c r="V5" s="308"/>
      <c r="W5" s="308"/>
      <c r="X5" s="28" t="s">
        <v>8</v>
      </c>
      <c r="Y5" s="308"/>
      <c r="Z5" s="308"/>
      <c r="AA5" s="28" t="s">
        <v>44</v>
      </c>
      <c r="AB5" s="308"/>
      <c r="AC5" s="308"/>
      <c r="AD5" s="28" t="s">
        <v>10</v>
      </c>
      <c r="AE5" s="27"/>
    </row>
    <row r="6" spans="1:42" ht="23.25" customHeight="1" x14ac:dyDescent="0.35">
      <c r="B6" s="29" t="s">
        <v>95</v>
      </c>
      <c r="C6" s="30"/>
      <c r="D6" s="30"/>
      <c r="E6" s="30"/>
      <c r="F6" s="30"/>
      <c r="G6" s="30"/>
      <c r="H6" s="30"/>
      <c r="I6" s="30"/>
      <c r="J6" s="30"/>
      <c r="K6" s="30"/>
      <c r="L6" s="30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42" ht="15.75" customHeight="1" x14ac:dyDescent="0.6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7"/>
    </row>
    <row r="8" spans="1:42" ht="15.75" customHeight="1" x14ac:dyDescent="0.35">
      <c r="C8" s="27"/>
      <c r="D8" s="32" t="s">
        <v>45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309"/>
      <c r="T8" s="309"/>
      <c r="U8" s="27"/>
      <c r="V8" s="27"/>
      <c r="W8" s="27"/>
      <c r="X8" s="27"/>
      <c r="Y8" s="27"/>
      <c r="Z8" s="27"/>
      <c r="AA8" s="27"/>
      <c r="AB8" s="27"/>
      <c r="AC8" s="27"/>
      <c r="AD8" s="33"/>
      <c r="AE8" s="27"/>
    </row>
    <row r="9" spans="1:42" ht="15.75" customHeight="1" x14ac:dyDescent="0.35"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2" ht="24" customHeight="1" x14ac:dyDescent="0.35">
      <c r="C10" s="27"/>
      <c r="D10" s="34"/>
      <c r="E10" s="15"/>
      <c r="F10" s="35"/>
      <c r="G10" s="35"/>
      <c r="H10" s="35"/>
      <c r="I10" s="27"/>
      <c r="J10" s="28" t="s">
        <v>46</v>
      </c>
      <c r="K10" s="34"/>
      <c r="L10" s="27"/>
      <c r="M10" s="28" t="s">
        <v>47</v>
      </c>
      <c r="N10" s="27"/>
      <c r="O10" s="34"/>
      <c r="P10" s="36" t="s">
        <v>48</v>
      </c>
      <c r="Q10" s="37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D10" s="27"/>
      <c r="AE10" s="27"/>
    </row>
    <row r="11" spans="1:42" ht="24" customHeight="1" x14ac:dyDescent="0.35">
      <c r="C11" s="27"/>
      <c r="D11" s="34"/>
      <c r="E11" s="15"/>
      <c r="F11" s="35"/>
      <c r="G11" s="35"/>
      <c r="H11" s="35"/>
      <c r="I11" s="35"/>
      <c r="J11" s="34"/>
      <c r="K11" s="34"/>
      <c r="L11" s="15"/>
      <c r="M11" s="34"/>
      <c r="N11" s="1" t="s">
        <v>49</v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27"/>
      <c r="AE11" s="27"/>
    </row>
    <row r="12" spans="1:42" ht="15.75" customHeight="1" x14ac:dyDescent="0.35">
      <c r="C12" s="27"/>
      <c r="D12" s="34"/>
      <c r="E12" s="15"/>
      <c r="F12" s="35"/>
      <c r="G12" s="35"/>
      <c r="H12" s="35"/>
      <c r="I12" s="35"/>
      <c r="J12" s="34"/>
      <c r="K12" s="34"/>
      <c r="L12" s="15"/>
      <c r="M12" s="34"/>
      <c r="N12" s="1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27"/>
      <c r="AE12" s="27"/>
    </row>
    <row r="13" spans="1:42" ht="19.5" customHeight="1" x14ac:dyDescent="0.35">
      <c r="C13" s="27"/>
      <c r="D13" s="34"/>
      <c r="E13" s="40"/>
      <c r="F13" s="34"/>
      <c r="G13" s="34"/>
      <c r="H13" s="34"/>
      <c r="I13" s="34"/>
      <c r="J13" s="34"/>
      <c r="K13" s="34"/>
      <c r="L13" s="15"/>
      <c r="M13" s="34"/>
      <c r="N13" s="28" t="s">
        <v>50</v>
      </c>
      <c r="O13" s="1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1"/>
      <c r="AE13" s="27"/>
    </row>
    <row r="14" spans="1:42" ht="19.5" customHeight="1" x14ac:dyDescent="0.35">
      <c r="C14" s="27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42" t="s">
        <v>51</v>
      </c>
      <c r="O14" s="1"/>
      <c r="P14" s="1"/>
      <c r="Q14" s="43"/>
      <c r="R14" s="43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4"/>
      <c r="AE14" s="27"/>
    </row>
    <row r="15" spans="1:42" ht="19.5" customHeight="1" x14ac:dyDescent="0.35">
      <c r="C15" s="27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28" t="s">
        <v>52</v>
      </c>
      <c r="O15" s="1"/>
      <c r="S15" s="42"/>
      <c r="AD15" s="45"/>
      <c r="AE15" s="27"/>
      <c r="AP15" s="42"/>
    </row>
    <row r="16" spans="1:42" ht="19.5" customHeight="1" x14ac:dyDescent="0.35">
      <c r="C16" s="27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28"/>
      <c r="O16" s="1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27"/>
      <c r="AE16" s="27"/>
    </row>
    <row r="17" spans="3:31" ht="15.75" customHeight="1" x14ac:dyDescent="0.35">
      <c r="C17" s="27"/>
      <c r="D17" s="34"/>
      <c r="E17" s="34"/>
      <c r="F17" s="34"/>
      <c r="G17" s="34"/>
      <c r="H17" s="34"/>
      <c r="I17" s="34"/>
      <c r="J17" s="34"/>
      <c r="K17" s="34"/>
      <c r="L17" s="40"/>
      <c r="M17" s="40"/>
      <c r="N17" s="40"/>
      <c r="O17" s="40"/>
      <c r="P17" s="40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27"/>
      <c r="AE17" s="27"/>
    </row>
    <row r="18" spans="3:31" ht="17.25" customHeight="1" x14ac:dyDescent="0.35">
      <c r="C18" s="310" t="s">
        <v>53</v>
      </c>
      <c r="D18" s="311"/>
      <c r="E18" s="312"/>
      <c r="F18" s="47"/>
      <c r="G18" s="48"/>
      <c r="H18" s="47"/>
      <c r="I18" s="49" t="s">
        <v>54</v>
      </c>
      <c r="J18" s="50"/>
      <c r="K18" s="51" t="s">
        <v>55</v>
      </c>
      <c r="L18" s="52"/>
      <c r="M18" s="51" t="s">
        <v>56</v>
      </c>
      <c r="N18" s="53"/>
      <c r="O18" s="54" t="s">
        <v>57</v>
      </c>
      <c r="P18" s="55"/>
      <c r="Q18" s="56" t="s">
        <v>58</v>
      </c>
      <c r="R18" s="57"/>
      <c r="S18" s="58" t="s">
        <v>59</v>
      </c>
      <c r="T18" s="59"/>
      <c r="U18" s="60" t="s">
        <v>60</v>
      </c>
      <c r="V18" s="61"/>
      <c r="W18" s="62" t="s">
        <v>61</v>
      </c>
      <c r="X18" s="63"/>
      <c r="Y18" s="62" t="s">
        <v>62</v>
      </c>
      <c r="Z18" s="63"/>
      <c r="AA18" s="62" t="s">
        <v>63</v>
      </c>
      <c r="AB18" s="316" t="s">
        <v>64</v>
      </c>
      <c r="AC18" s="317"/>
      <c r="AD18" s="64"/>
      <c r="AE18" s="27"/>
    </row>
    <row r="19" spans="3:31" ht="21" customHeight="1" x14ac:dyDescent="0.35">
      <c r="C19" s="313"/>
      <c r="D19" s="314"/>
      <c r="E19" s="315"/>
      <c r="F19" s="65"/>
      <c r="G19" s="66"/>
      <c r="H19" s="313"/>
      <c r="I19" s="320"/>
      <c r="J19" s="321"/>
      <c r="K19" s="315"/>
      <c r="L19" s="322"/>
      <c r="M19" s="323"/>
      <c r="N19" s="322"/>
      <c r="O19" s="347"/>
      <c r="P19" s="348"/>
      <c r="Q19" s="323"/>
      <c r="R19" s="349"/>
      <c r="S19" s="350"/>
      <c r="T19" s="351"/>
      <c r="U19" s="352"/>
      <c r="V19" s="353"/>
      <c r="W19" s="350"/>
      <c r="X19" s="322"/>
      <c r="Y19" s="323"/>
      <c r="Z19" s="322"/>
      <c r="AA19" s="323"/>
      <c r="AB19" s="318"/>
      <c r="AC19" s="319"/>
      <c r="AD19" s="64"/>
      <c r="AE19" s="27"/>
    </row>
    <row r="20" spans="3:31" ht="30.75" customHeight="1" x14ac:dyDescent="0.35">
      <c r="C20" s="2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 t="s">
        <v>65</v>
      </c>
      <c r="O20" s="68"/>
      <c r="P20" s="68"/>
      <c r="Q20" s="69"/>
      <c r="R20" s="69"/>
      <c r="S20" s="69"/>
      <c r="T20" s="69"/>
      <c r="U20" s="69"/>
      <c r="V20" s="324"/>
      <c r="W20" s="324"/>
      <c r="X20" s="324"/>
      <c r="Y20" s="324"/>
      <c r="Z20" s="324"/>
      <c r="AA20" s="324"/>
      <c r="AB20" s="69" t="s">
        <v>66</v>
      </c>
      <c r="AC20" s="69"/>
      <c r="AD20" s="70"/>
      <c r="AE20" s="27"/>
    </row>
    <row r="21" spans="3:31" ht="15.75" customHeight="1" x14ac:dyDescent="0.35">
      <c r="C21" s="2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71"/>
      <c r="AB21" s="40"/>
      <c r="AC21" s="34"/>
      <c r="AD21" s="70"/>
      <c r="AE21" s="27"/>
    </row>
    <row r="22" spans="3:31" ht="21.75" customHeight="1" x14ac:dyDescent="0.35">
      <c r="C22" s="27"/>
      <c r="D22" s="325" t="s">
        <v>67</v>
      </c>
      <c r="E22" s="326"/>
      <c r="F22" s="326"/>
      <c r="G22" s="327"/>
      <c r="H22" s="331" t="s">
        <v>68</v>
      </c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2"/>
      <c r="AD22" s="70"/>
      <c r="AE22" s="27"/>
    </row>
    <row r="23" spans="3:31" ht="21.75" customHeight="1" x14ac:dyDescent="0.35">
      <c r="C23" s="27"/>
      <c r="D23" s="328"/>
      <c r="E23" s="329"/>
      <c r="F23" s="329"/>
      <c r="G23" s="330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4"/>
      <c r="AD23" s="70"/>
      <c r="AE23" s="27"/>
    </row>
    <row r="24" spans="3:31" ht="21.75" customHeight="1" x14ac:dyDescent="0.35">
      <c r="C24" s="27"/>
      <c r="D24" s="335" t="s">
        <v>69</v>
      </c>
      <c r="E24" s="336"/>
      <c r="F24" s="336"/>
      <c r="G24" s="337"/>
      <c r="H24" s="341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3"/>
      <c r="AD24" s="70"/>
      <c r="AE24" s="27"/>
    </row>
    <row r="25" spans="3:31" ht="21.75" customHeight="1" x14ac:dyDescent="0.35">
      <c r="C25" s="27"/>
      <c r="D25" s="338"/>
      <c r="E25" s="339"/>
      <c r="F25" s="339"/>
      <c r="G25" s="340"/>
      <c r="H25" s="344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6"/>
      <c r="AD25" s="70"/>
      <c r="AE25" s="27"/>
    </row>
    <row r="26" spans="3:31" ht="21.75" customHeight="1" x14ac:dyDescent="0.35">
      <c r="C26" s="27"/>
      <c r="D26" s="364" t="s">
        <v>70</v>
      </c>
      <c r="E26" s="365"/>
      <c r="F26" s="365"/>
      <c r="G26" s="366"/>
      <c r="H26" s="341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3"/>
      <c r="AD26" s="70"/>
      <c r="AE26" s="27"/>
    </row>
    <row r="27" spans="3:31" ht="21.75" customHeight="1" x14ac:dyDescent="0.35">
      <c r="C27" s="27"/>
      <c r="D27" s="367"/>
      <c r="E27" s="368"/>
      <c r="F27" s="368"/>
      <c r="G27" s="369"/>
      <c r="H27" s="344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6"/>
      <c r="AD27" s="70"/>
      <c r="AE27" s="27"/>
    </row>
    <row r="28" spans="3:31" ht="21.75" customHeight="1" x14ac:dyDescent="0.35">
      <c r="C28" s="27"/>
      <c r="D28" s="364" t="s">
        <v>71</v>
      </c>
      <c r="E28" s="365"/>
      <c r="F28" s="365"/>
      <c r="G28" s="366"/>
      <c r="H28" s="72"/>
      <c r="I28" s="72"/>
      <c r="J28" s="27"/>
      <c r="K28" s="27"/>
      <c r="L28" s="27"/>
      <c r="M28" s="72" t="s">
        <v>72</v>
      </c>
      <c r="N28" s="370"/>
      <c r="O28" s="370"/>
      <c r="P28" s="370"/>
      <c r="Q28" s="72" t="s">
        <v>8</v>
      </c>
      <c r="R28" s="342"/>
      <c r="S28" s="342"/>
      <c r="T28" s="72" t="s">
        <v>23</v>
      </c>
      <c r="U28" s="342"/>
      <c r="V28" s="342"/>
      <c r="W28" s="72" t="s">
        <v>10</v>
      </c>
      <c r="X28" s="72"/>
      <c r="Y28" s="72"/>
      <c r="Z28" s="72"/>
      <c r="AA28" s="72"/>
      <c r="AB28" s="72"/>
      <c r="AC28" s="73"/>
      <c r="AD28" s="70"/>
      <c r="AE28" s="27"/>
    </row>
    <row r="29" spans="3:31" ht="21.75" customHeight="1" x14ac:dyDescent="0.35">
      <c r="C29" s="27"/>
      <c r="D29" s="367"/>
      <c r="E29" s="368"/>
      <c r="F29" s="368"/>
      <c r="G29" s="369"/>
      <c r="H29" s="74"/>
      <c r="I29" s="74"/>
      <c r="J29" s="75"/>
      <c r="K29" s="75"/>
      <c r="L29" s="75"/>
      <c r="M29" s="74" t="s">
        <v>73</v>
      </c>
      <c r="N29" s="371"/>
      <c r="O29" s="371"/>
      <c r="P29" s="371"/>
      <c r="Q29" s="74" t="s">
        <v>8</v>
      </c>
      <c r="R29" s="345"/>
      <c r="S29" s="345"/>
      <c r="T29" s="74" t="s">
        <v>23</v>
      </c>
      <c r="U29" s="345"/>
      <c r="V29" s="345"/>
      <c r="W29" s="74" t="s">
        <v>10</v>
      </c>
      <c r="X29" s="74"/>
      <c r="Y29" s="74"/>
      <c r="Z29" s="74"/>
      <c r="AA29" s="74"/>
      <c r="AB29" s="74"/>
      <c r="AC29" s="76"/>
      <c r="AD29" s="70"/>
      <c r="AE29" s="27"/>
    </row>
    <row r="30" spans="3:31" ht="15.75" customHeight="1" x14ac:dyDescent="0.5">
      <c r="C30" s="27"/>
      <c r="D30" s="15"/>
      <c r="E30" s="15"/>
      <c r="F30" s="15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8"/>
      <c r="AC30" s="33"/>
      <c r="AD30" s="70"/>
      <c r="AE30" s="27"/>
    </row>
    <row r="31" spans="3:31" ht="27" customHeight="1" x14ac:dyDescent="0.5">
      <c r="C31" s="27"/>
      <c r="D31" s="67" t="s">
        <v>74</v>
      </c>
      <c r="E31" s="70"/>
      <c r="F31" s="70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8"/>
      <c r="AC31" s="33"/>
      <c r="AD31" s="70"/>
      <c r="AE31" s="27"/>
    </row>
    <row r="32" spans="3:31" ht="15.75" customHeight="1" x14ac:dyDescent="0.35">
      <c r="C32" s="27"/>
      <c r="D32" s="310" t="s">
        <v>75</v>
      </c>
      <c r="E32" s="311"/>
      <c r="F32" s="311"/>
      <c r="G32" s="311"/>
      <c r="H32" s="382" t="s">
        <v>76</v>
      </c>
      <c r="I32" s="383"/>
      <c r="J32" s="388"/>
      <c r="K32" s="354"/>
      <c r="L32" s="356"/>
      <c r="M32" s="358"/>
      <c r="N32" s="386"/>
      <c r="O32" s="356"/>
      <c r="P32" s="372"/>
      <c r="Q32" s="374"/>
      <c r="R32" s="376"/>
      <c r="S32" s="372"/>
      <c r="T32" s="372"/>
      <c r="U32" s="360" t="s">
        <v>77</v>
      </c>
      <c r="V32" s="80" t="s">
        <v>78</v>
      </c>
      <c r="W32" s="81"/>
      <c r="X32" s="81"/>
      <c r="Y32" s="81"/>
      <c r="Z32" s="81"/>
      <c r="AA32" s="81"/>
      <c r="AB32" s="81"/>
      <c r="AC32" s="82"/>
      <c r="AD32" s="70"/>
      <c r="AE32" s="27"/>
    </row>
    <row r="33" spans="3:39" ht="15.75" customHeight="1" x14ac:dyDescent="0.5">
      <c r="C33" s="27"/>
      <c r="D33" s="313"/>
      <c r="E33" s="314"/>
      <c r="F33" s="314"/>
      <c r="G33" s="314"/>
      <c r="H33" s="384"/>
      <c r="I33" s="385"/>
      <c r="J33" s="389"/>
      <c r="K33" s="355"/>
      <c r="L33" s="357"/>
      <c r="M33" s="359"/>
      <c r="N33" s="387"/>
      <c r="O33" s="357"/>
      <c r="P33" s="373"/>
      <c r="Q33" s="375"/>
      <c r="R33" s="377"/>
      <c r="S33" s="373"/>
      <c r="T33" s="373"/>
      <c r="U33" s="361"/>
      <c r="V33" s="362"/>
      <c r="W33" s="363"/>
      <c r="X33" s="363"/>
      <c r="Y33" s="363"/>
      <c r="Z33" s="363"/>
      <c r="AA33" s="363"/>
      <c r="AB33" s="363"/>
      <c r="AC33" s="83" t="s">
        <v>77</v>
      </c>
      <c r="AD33" s="70"/>
      <c r="AE33" s="27"/>
    </row>
    <row r="34" spans="3:39" ht="15.75" customHeight="1" x14ac:dyDescent="0.35">
      <c r="C34" s="27"/>
      <c r="D34" s="310" t="s">
        <v>79</v>
      </c>
      <c r="E34" s="311"/>
      <c r="F34" s="311"/>
      <c r="G34" s="311"/>
      <c r="H34" s="382" t="s">
        <v>80</v>
      </c>
      <c r="I34" s="383"/>
      <c r="J34" s="388"/>
      <c r="K34" s="354"/>
      <c r="L34" s="356"/>
      <c r="M34" s="358"/>
      <c r="N34" s="386"/>
      <c r="O34" s="356"/>
      <c r="P34" s="372"/>
      <c r="Q34" s="374"/>
      <c r="R34" s="376"/>
      <c r="S34" s="372"/>
      <c r="T34" s="372"/>
      <c r="U34" s="360" t="s">
        <v>77</v>
      </c>
      <c r="V34" s="80" t="s">
        <v>78</v>
      </c>
      <c r="W34" s="81"/>
      <c r="X34" s="81"/>
      <c r="Y34" s="81"/>
      <c r="Z34" s="81"/>
      <c r="AA34" s="81"/>
      <c r="AB34" s="81"/>
      <c r="AC34" s="84"/>
      <c r="AD34" s="27"/>
      <c r="AE34" s="27"/>
    </row>
    <row r="35" spans="3:39" ht="15.75" customHeight="1" x14ac:dyDescent="0.5">
      <c r="C35" s="27"/>
      <c r="D35" s="313"/>
      <c r="E35" s="314"/>
      <c r="F35" s="314"/>
      <c r="G35" s="314"/>
      <c r="H35" s="384"/>
      <c r="I35" s="385"/>
      <c r="J35" s="389"/>
      <c r="K35" s="355"/>
      <c r="L35" s="357"/>
      <c r="M35" s="359"/>
      <c r="N35" s="387"/>
      <c r="O35" s="357"/>
      <c r="P35" s="373"/>
      <c r="Q35" s="375"/>
      <c r="R35" s="377"/>
      <c r="S35" s="373"/>
      <c r="T35" s="373"/>
      <c r="U35" s="361"/>
      <c r="V35" s="362"/>
      <c r="W35" s="363"/>
      <c r="X35" s="363"/>
      <c r="Y35" s="363"/>
      <c r="Z35" s="363"/>
      <c r="AA35" s="363"/>
      <c r="AB35" s="363"/>
      <c r="AC35" s="83" t="s">
        <v>77</v>
      </c>
      <c r="AD35" s="27"/>
      <c r="AE35" s="27"/>
    </row>
    <row r="36" spans="3:39" ht="15.75" customHeight="1" x14ac:dyDescent="0.35">
      <c r="C36" s="27"/>
      <c r="D36" s="378" t="s">
        <v>81</v>
      </c>
      <c r="E36" s="379"/>
      <c r="F36" s="379"/>
      <c r="G36" s="379"/>
      <c r="H36" s="382" t="s">
        <v>82</v>
      </c>
      <c r="I36" s="383"/>
      <c r="J36" s="388"/>
      <c r="K36" s="354"/>
      <c r="L36" s="356"/>
      <c r="M36" s="358"/>
      <c r="N36" s="386"/>
      <c r="O36" s="356"/>
      <c r="P36" s="372"/>
      <c r="Q36" s="374"/>
      <c r="R36" s="376"/>
      <c r="S36" s="372"/>
      <c r="T36" s="372"/>
      <c r="U36" s="360" t="s">
        <v>77</v>
      </c>
      <c r="V36" s="80" t="s">
        <v>78</v>
      </c>
      <c r="W36" s="81"/>
      <c r="X36" s="81"/>
      <c r="Y36" s="81"/>
      <c r="Z36" s="81"/>
      <c r="AA36" s="81"/>
      <c r="AB36" s="81"/>
      <c r="AC36" s="84"/>
      <c r="AD36" s="27"/>
      <c r="AE36" s="27"/>
    </row>
    <row r="37" spans="3:39" ht="15.75" customHeight="1" x14ac:dyDescent="0.5">
      <c r="C37" s="27"/>
      <c r="D37" s="380"/>
      <c r="E37" s="381"/>
      <c r="F37" s="381"/>
      <c r="G37" s="381"/>
      <c r="H37" s="384"/>
      <c r="I37" s="385"/>
      <c r="J37" s="389"/>
      <c r="K37" s="355"/>
      <c r="L37" s="357"/>
      <c r="M37" s="359"/>
      <c r="N37" s="387"/>
      <c r="O37" s="357"/>
      <c r="P37" s="373"/>
      <c r="Q37" s="375"/>
      <c r="R37" s="377"/>
      <c r="S37" s="373"/>
      <c r="T37" s="373"/>
      <c r="U37" s="361"/>
      <c r="V37" s="362"/>
      <c r="W37" s="363"/>
      <c r="X37" s="363"/>
      <c r="Y37" s="363"/>
      <c r="Z37" s="363"/>
      <c r="AA37" s="363"/>
      <c r="AB37" s="363"/>
      <c r="AC37" s="83" t="s">
        <v>77</v>
      </c>
      <c r="AD37" s="27"/>
      <c r="AE37" s="27"/>
    </row>
    <row r="38" spans="3:39" ht="15.75" customHeight="1" x14ac:dyDescent="0.35">
      <c r="C38" s="27"/>
      <c r="D38" s="310" t="s">
        <v>83</v>
      </c>
      <c r="E38" s="311"/>
      <c r="F38" s="311"/>
      <c r="G38" s="311"/>
      <c r="H38" s="382" t="s">
        <v>84</v>
      </c>
      <c r="I38" s="383"/>
      <c r="J38" s="388"/>
      <c r="K38" s="354"/>
      <c r="L38" s="356"/>
      <c r="M38" s="358"/>
      <c r="N38" s="386"/>
      <c r="O38" s="356"/>
      <c r="P38" s="372"/>
      <c r="Q38" s="374"/>
      <c r="R38" s="376"/>
      <c r="S38" s="372"/>
      <c r="T38" s="372"/>
      <c r="U38" s="360" t="s">
        <v>77</v>
      </c>
      <c r="V38" s="80" t="s">
        <v>78</v>
      </c>
      <c r="W38" s="81"/>
      <c r="X38" s="81"/>
      <c r="Y38" s="81"/>
      <c r="Z38" s="81"/>
      <c r="AA38" s="81"/>
      <c r="AB38" s="81"/>
      <c r="AC38" s="85"/>
      <c r="AD38" s="27"/>
      <c r="AE38" s="27"/>
      <c r="AM38" s="27"/>
    </row>
    <row r="39" spans="3:39" ht="15.75" customHeight="1" thickBot="1" x14ac:dyDescent="0.55000000000000004">
      <c r="C39" s="27"/>
      <c r="D39" s="390"/>
      <c r="E39" s="391"/>
      <c r="F39" s="391"/>
      <c r="G39" s="391"/>
      <c r="H39" s="392"/>
      <c r="I39" s="393"/>
      <c r="J39" s="394"/>
      <c r="K39" s="395"/>
      <c r="L39" s="396"/>
      <c r="M39" s="397"/>
      <c r="N39" s="398"/>
      <c r="O39" s="396"/>
      <c r="P39" s="399"/>
      <c r="Q39" s="446"/>
      <c r="R39" s="447"/>
      <c r="S39" s="399"/>
      <c r="T39" s="399"/>
      <c r="U39" s="448"/>
      <c r="V39" s="449"/>
      <c r="W39" s="450"/>
      <c r="X39" s="450"/>
      <c r="Y39" s="450"/>
      <c r="Z39" s="450"/>
      <c r="AA39" s="450"/>
      <c r="AB39" s="450"/>
      <c r="AC39" s="86" t="s">
        <v>77</v>
      </c>
      <c r="AD39" s="27"/>
      <c r="AE39" s="27"/>
      <c r="AM39" s="27"/>
    </row>
    <row r="40" spans="3:39" ht="15.75" customHeight="1" thickTop="1" x14ac:dyDescent="0.35">
      <c r="C40" s="27"/>
      <c r="D40" s="433" t="s">
        <v>85</v>
      </c>
      <c r="E40" s="434"/>
      <c r="F40" s="434"/>
      <c r="G40" s="434"/>
      <c r="H40" s="434"/>
      <c r="I40" s="435"/>
      <c r="J40" s="439"/>
      <c r="K40" s="440"/>
      <c r="L40" s="429"/>
      <c r="M40" s="441"/>
      <c r="N40" s="442"/>
      <c r="O40" s="429"/>
      <c r="P40" s="430"/>
      <c r="Q40" s="431"/>
      <c r="R40" s="432"/>
      <c r="S40" s="430"/>
      <c r="T40" s="430"/>
      <c r="U40" s="403" t="s">
        <v>77</v>
      </c>
      <c r="V40" s="80" t="s">
        <v>78</v>
      </c>
      <c r="W40" s="87"/>
      <c r="X40" s="87"/>
      <c r="Y40" s="87"/>
      <c r="Z40" s="87"/>
      <c r="AA40" s="87"/>
      <c r="AB40" s="87"/>
      <c r="AC40" s="85"/>
      <c r="AD40" s="27"/>
      <c r="AE40" s="27"/>
    </row>
    <row r="41" spans="3:39" ht="15.75" customHeight="1" x14ac:dyDescent="0.5">
      <c r="C41" s="27"/>
      <c r="D41" s="436"/>
      <c r="E41" s="437"/>
      <c r="F41" s="437"/>
      <c r="G41" s="437"/>
      <c r="H41" s="437"/>
      <c r="I41" s="438"/>
      <c r="J41" s="389"/>
      <c r="K41" s="355"/>
      <c r="L41" s="357"/>
      <c r="M41" s="359"/>
      <c r="N41" s="387"/>
      <c r="O41" s="357"/>
      <c r="P41" s="373"/>
      <c r="Q41" s="375"/>
      <c r="R41" s="377"/>
      <c r="S41" s="373"/>
      <c r="T41" s="373"/>
      <c r="U41" s="361"/>
      <c r="V41" s="362"/>
      <c r="W41" s="363"/>
      <c r="X41" s="363"/>
      <c r="Y41" s="363"/>
      <c r="Z41" s="363"/>
      <c r="AA41" s="363"/>
      <c r="AB41" s="363"/>
      <c r="AC41" s="83" t="s">
        <v>77</v>
      </c>
      <c r="AD41" s="27"/>
      <c r="AE41" s="27"/>
    </row>
    <row r="42" spans="3:39" ht="15.75" customHeight="1" x14ac:dyDescent="0.5">
      <c r="C42" s="27"/>
      <c r="D42" s="41"/>
      <c r="E42" s="41"/>
      <c r="F42" s="41"/>
      <c r="G42" s="41"/>
      <c r="H42" s="41"/>
      <c r="I42" s="77"/>
      <c r="J42" s="77"/>
      <c r="K42" s="77"/>
      <c r="L42" s="77"/>
      <c r="M42" s="77"/>
      <c r="N42" s="77"/>
      <c r="O42" s="77"/>
      <c r="P42" s="88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3:39" ht="9" customHeight="1" x14ac:dyDescent="0.35">
      <c r="D43" s="67"/>
      <c r="E43" s="67"/>
      <c r="F43" s="67"/>
      <c r="G43" s="67"/>
      <c r="H43" s="1"/>
      <c r="I43" s="1"/>
      <c r="J43" s="1"/>
      <c r="K43" s="1"/>
      <c r="AD43" s="27"/>
      <c r="AE43" s="27"/>
    </row>
    <row r="44" spans="3:39" ht="15.75" customHeight="1" x14ac:dyDescent="0.35">
      <c r="C44" s="67"/>
      <c r="D44" s="1"/>
      <c r="E44" s="1"/>
      <c r="F44" s="1"/>
      <c r="G44" s="1"/>
      <c r="H44" s="1"/>
      <c r="I44" s="1"/>
      <c r="J44" s="1"/>
      <c r="K44" s="1"/>
      <c r="AD44" s="27"/>
      <c r="AE44" s="27"/>
    </row>
    <row r="45" spans="3:39" ht="19.5" customHeight="1" x14ac:dyDescent="0.35">
      <c r="C45" s="1"/>
      <c r="D45" s="404" t="s">
        <v>86</v>
      </c>
      <c r="E45" s="405"/>
      <c r="F45" s="405"/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  <c r="S45" s="405"/>
      <c r="T45" s="405"/>
      <c r="U45" s="405"/>
      <c r="V45" s="405"/>
      <c r="W45" s="405"/>
      <c r="X45" s="405"/>
      <c r="Y45" s="405"/>
      <c r="Z45" s="405"/>
      <c r="AA45" s="405"/>
      <c r="AB45" s="405"/>
      <c r="AC45" s="406"/>
      <c r="AD45" s="1"/>
      <c r="AE45" s="27"/>
    </row>
    <row r="46" spans="3:39" ht="19.5" customHeight="1" x14ac:dyDescent="0.35">
      <c r="C46" s="1"/>
      <c r="D46" s="316"/>
      <c r="E46" s="407"/>
      <c r="F46" s="407"/>
      <c r="G46" s="407"/>
      <c r="H46" s="407"/>
      <c r="I46" s="89" t="s">
        <v>87</v>
      </c>
      <c r="J46" s="90"/>
      <c r="K46" s="90"/>
      <c r="L46" s="407"/>
      <c r="M46" s="407"/>
      <c r="N46" s="411" t="s">
        <v>88</v>
      </c>
      <c r="O46" s="412"/>
      <c r="P46" s="417" t="s">
        <v>89</v>
      </c>
      <c r="Q46" s="412"/>
      <c r="R46" s="420" t="s">
        <v>90</v>
      </c>
      <c r="S46" s="421"/>
      <c r="T46" s="421"/>
      <c r="U46" s="422"/>
      <c r="V46" s="420" t="s">
        <v>91</v>
      </c>
      <c r="W46" s="421"/>
      <c r="X46" s="421"/>
      <c r="Y46" s="421"/>
      <c r="Z46" s="421"/>
      <c r="AA46" s="421"/>
      <c r="AB46" s="421"/>
      <c r="AC46" s="423"/>
      <c r="AD46" s="1"/>
      <c r="AE46" s="27"/>
    </row>
    <row r="47" spans="3:39" ht="19.5" customHeight="1" x14ac:dyDescent="0.35">
      <c r="C47" s="1"/>
      <c r="D47" s="408"/>
      <c r="E47" s="409"/>
      <c r="F47" s="409"/>
      <c r="G47" s="409"/>
      <c r="H47" s="409"/>
      <c r="I47" s="91" t="s">
        <v>92</v>
      </c>
      <c r="J47" s="1"/>
      <c r="K47" s="1"/>
      <c r="L47" s="409"/>
      <c r="M47" s="409"/>
      <c r="N47" s="413"/>
      <c r="O47" s="414"/>
      <c r="P47" s="418"/>
      <c r="Q47" s="414"/>
      <c r="R47" s="424"/>
      <c r="S47" s="425"/>
      <c r="T47" s="425"/>
      <c r="U47" s="426"/>
      <c r="V47" s="443"/>
      <c r="W47" s="444"/>
      <c r="X47" s="444"/>
      <c r="Y47" s="444"/>
      <c r="Z47" s="444"/>
      <c r="AA47" s="444"/>
      <c r="AB47" s="444"/>
      <c r="AC47" s="445"/>
      <c r="AD47" s="1"/>
      <c r="AE47" s="27"/>
    </row>
    <row r="48" spans="3:39" ht="19.5" customHeight="1" x14ac:dyDescent="0.35">
      <c r="C48" s="1"/>
      <c r="D48" s="318"/>
      <c r="E48" s="410"/>
      <c r="F48" s="410"/>
      <c r="G48" s="410"/>
      <c r="H48" s="410"/>
      <c r="I48" s="92" t="s">
        <v>93</v>
      </c>
      <c r="J48" s="93"/>
      <c r="K48" s="93"/>
      <c r="L48" s="410"/>
      <c r="M48" s="410"/>
      <c r="N48" s="415"/>
      <c r="O48" s="416"/>
      <c r="P48" s="419"/>
      <c r="Q48" s="416"/>
      <c r="R48" s="427"/>
      <c r="S48" s="410"/>
      <c r="T48" s="410"/>
      <c r="U48" s="428"/>
      <c r="V48" s="400"/>
      <c r="W48" s="401"/>
      <c r="X48" s="401"/>
      <c r="Y48" s="401"/>
      <c r="Z48" s="401"/>
      <c r="AA48" s="401"/>
      <c r="AB48" s="401"/>
      <c r="AC48" s="402"/>
      <c r="AD48" s="1"/>
      <c r="AE48" s="27"/>
    </row>
    <row r="49" spans="3:31" ht="15.75" customHeight="1" x14ac:dyDescent="0.3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27"/>
    </row>
    <row r="50" spans="3:31" ht="15.75" customHeight="1" x14ac:dyDescent="0.3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27"/>
    </row>
    <row r="51" spans="3:31" ht="15.75" customHeight="1" x14ac:dyDescent="0.3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7"/>
    </row>
    <row r="52" spans="3:31" ht="15.75" customHeight="1" x14ac:dyDescent="0.3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7"/>
    </row>
    <row r="53" spans="3:31" ht="15.75" customHeight="1" x14ac:dyDescent="0.3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27"/>
    </row>
    <row r="54" spans="3:31" ht="15.75" customHeight="1" x14ac:dyDescent="0.3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27"/>
    </row>
    <row r="55" spans="3:31" ht="15.75" customHeight="1" x14ac:dyDescent="0.3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27"/>
    </row>
    <row r="56" spans="3:31" ht="15.75" customHeight="1" x14ac:dyDescent="0.35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94"/>
      <c r="R56" s="94"/>
      <c r="S56" s="94"/>
      <c r="T56" s="94"/>
      <c r="U56" s="67"/>
      <c r="V56" s="67"/>
      <c r="W56" s="67"/>
      <c r="X56" s="67"/>
      <c r="Y56" s="67"/>
      <c r="Z56" s="67"/>
      <c r="AA56" s="67"/>
      <c r="AB56" s="67"/>
      <c r="AC56" s="67"/>
      <c r="AD56" s="27"/>
      <c r="AE56" s="27"/>
    </row>
    <row r="57" spans="3:31" ht="15.75" customHeight="1" x14ac:dyDescent="0.35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94"/>
      <c r="R57" s="94"/>
      <c r="S57" s="94"/>
      <c r="T57" s="94"/>
      <c r="U57" s="67"/>
      <c r="V57" s="67"/>
      <c r="W57" s="67"/>
      <c r="X57" s="67"/>
      <c r="Y57" s="67"/>
      <c r="Z57" s="67"/>
      <c r="AA57" s="67"/>
      <c r="AB57" s="67"/>
      <c r="AC57" s="67"/>
      <c r="AD57" s="27"/>
      <c r="AE57" s="27"/>
    </row>
    <row r="58" spans="3:31" ht="15.75" customHeight="1" x14ac:dyDescent="0.35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27"/>
    </row>
  </sheetData>
  <mergeCells count="115">
    <mergeCell ref="J36:J37"/>
    <mergeCell ref="K36:K37"/>
    <mergeCell ref="L36:L37"/>
    <mergeCell ref="M36:M37"/>
    <mergeCell ref="V47:AC47"/>
    <mergeCell ref="Q38:Q39"/>
    <mergeCell ref="R38:R39"/>
    <mergeCell ref="S38:S39"/>
    <mergeCell ref="T38:T39"/>
    <mergeCell ref="U38:U39"/>
    <mergeCell ref="V39:AB39"/>
    <mergeCell ref="V37:AB37"/>
    <mergeCell ref="P36:P37"/>
    <mergeCell ref="Q36:Q37"/>
    <mergeCell ref="R36:R37"/>
    <mergeCell ref="S36:S37"/>
    <mergeCell ref="T36:T37"/>
    <mergeCell ref="U36:U37"/>
    <mergeCell ref="V48:AC48"/>
    <mergeCell ref="U40:U41"/>
    <mergeCell ref="V41:AB41"/>
    <mergeCell ref="D45:AC45"/>
    <mergeCell ref="D46:H48"/>
    <mergeCell ref="L46:M48"/>
    <mergeCell ref="N46:O48"/>
    <mergeCell ref="P46:Q48"/>
    <mergeCell ref="R46:U46"/>
    <mergeCell ref="V46:AC46"/>
    <mergeCell ref="R47:U48"/>
    <mergeCell ref="O40:O41"/>
    <mergeCell ref="P40:P41"/>
    <mergeCell ref="Q40:Q41"/>
    <mergeCell ref="R40:R41"/>
    <mergeCell ref="S40:S41"/>
    <mergeCell ref="T40:T41"/>
    <mergeCell ref="D40:I41"/>
    <mergeCell ref="J40:J41"/>
    <mergeCell ref="K40:K41"/>
    <mergeCell ref="L40:L41"/>
    <mergeCell ref="M40:M41"/>
    <mergeCell ref="N40:N41"/>
    <mergeCell ref="D38:G39"/>
    <mergeCell ref="H38:I39"/>
    <mergeCell ref="J38:J39"/>
    <mergeCell ref="K38:K39"/>
    <mergeCell ref="L38:L39"/>
    <mergeCell ref="M38:M39"/>
    <mergeCell ref="N38:N39"/>
    <mergeCell ref="O38:O39"/>
    <mergeCell ref="P38:P39"/>
    <mergeCell ref="D36:G37"/>
    <mergeCell ref="H36:I37"/>
    <mergeCell ref="N36:N37"/>
    <mergeCell ref="O36:O37"/>
    <mergeCell ref="O34:O35"/>
    <mergeCell ref="T32:T33"/>
    <mergeCell ref="U32:U33"/>
    <mergeCell ref="V33:AB33"/>
    <mergeCell ref="D34:G35"/>
    <mergeCell ref="H34:I35"/>
    <mergeCell ref="J34:J35"/>
    <mergeCell ref="K34:K35"/>
    <mergeCell ref="L34:L35"/>
    <mergeCell ref="M34:M35"/>
    <mergeCell ref="N34:N35"/>
    <mergeCell ref="N32:N33"/>
    <mergeCell ref="O32:O33"/>
    <mergeCell ref="P32:P33"/>
    <mergeCell ref="Q32:Q33"/>
    <mergeCell ref="R32:R33"/>
    <mergeCell ref="S32:S33"/>
    <mergeCell ref="D32:G33"/>
    <mergeCell ref="H32:I33"/>
    <mergeCell ref="J32:J33"/>
    <mergeCell ref="K32:K33"/>
    <mergeCell ref="L32:L33"/>
    <mergeCell ref="M32:M33"/>
    <mergeCell ref="U34:U35"/>
    <mergeCell ref="V35:AB35"/>
    <mergeCell ref="D26:G27"/>
    <mergeCell ref="H26:AC27"/>
    <mergeCell ref="D28:G29"/>
    <mergeCell ref="N28:P28"/>
    <mergeCell ref="R28:S28"/>
    <mergeCell ref="U28:V28"/>
    <mergeCell ref="N29:P29"/>
    <mergeCell ref="R29:S29"/>
    <mergeCell ref="U29:V29"/>
    <mergeCell ref="P34:P35"/>
    <mergeCell ref="Q34:Q35"/>
    <mergeCell ref="R34:R35"/>
    <mergeCell ref="S34:S35"/>
    <mergeCell ref="T34:T35"/>
    <mergeCell ref="V20:AA20"/>
    <mergeCell ref="D22:G23"/>
    <mergeCell ref="H22:AC23"/>
    <mergeCell ref="D24:G25"/>
    <mergeCell ref="H24:AC25"/>
    <mergeCell ref="N19:O19"/>
    <mergeCell ref="P19:Q19"/>
    <mergeCell ref="R19:S19"/>
    <mergeCell ref="T19:U19"/>
    <mergeCell ref="V19:W19"/>
    <mergeCell ref="X19:Y19"/>
    <mergeCell ref="A1:AE4"/>
    <mergeCell ref="V5:W5"/>
    <mergeCell ref="Y5:Z5"/>
    <mergeCell ref="AB5:AC5"/>
    <mergeCell ref="S8:T8"/>
    <mergeCell ref="C18:E19"/>
    <mergeCell ref="AB18:AC19"/>
    <mergeCell ref="H19:I19"/>
    <mergeCell ref="J19:K19"/>
    <mergeCell ref="L19:M19"/>
    <mergeCell ref="Z19:AA19"/>
  </mergeCells>
  <phoneticPr fontId="1"/>
  <pageMargins left="0.78740157480314965" right="0.78740157480314965" top="0.39370078740157483" bottom="0.39370078740157483" header="0.59055118110236227" footer="0.19685039370078741"/>
  <pageSetup paperSize="9" scale="79" fitToWidth="0" fitToHeight="0" orientation="portrait" r:id="rId1"/>
  <headerFooter alignWithMargins="0"/>
  <colBreaks count="1" manualBreakCount="1">
    <brk id="32" max="48" man="1"/>
  </colBreaks>
  <ignoredErrors>
    <ignoredError sqref="Q28:Q29 T28:T2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チェック 1">
              <controlPr defaultSize="0" autoFill="0" autoLine="0" autoPict="0">
                <anchor moveWithCells="1">
                  <from>
                    <xdr:col>28</xdr:col>
                    <xdr:colOff>95250</xdr:colOff>
                    <xdr:row>10</xdr:row>
                    <xdr:rowOff>38100</xdr:rowOff>
                  </from>
                  <to>
                    <xdr:col>29</xdr:col>
                    <xdr:colOff>152400</xdr:colOff>
                    <xdr:row>10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計画図面（提出用）</vt:lpstr>
      <vt:lpstr>実施図面</vt:lpstr>
      <vt:lpstr>竣工届</vt:lpstr>
      <vt:lpstr>請求書　工事請負・委託等</vt:lpstr>
      <vt:lpstr>'計画図面（提出用）'!Print_Area</vt:lpstr>
      <vt:lpstr>実施図面!Print_Area</vt:lpstr>
      <vt:lpstr>竣工届!Print_Area</vt:lpstr>
      <vt:lpstr>'請求書　工事請負・委託等'!Print_Area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2025-04-30T00:52:32Z</dcterms:modified>
</cp:coreProperties>
</file>